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comments2.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429"/>
  <workbookPr codeName="ThisWorkbook" defaultThemeVersion="166925"/>
  <mc:AlternateContent xmlns:mc="http://schemas.openxmlformats.org/markup-compatibility/2006">
    <mc:Choice Requires="x15">
      <x15ac:absPath xmlns:x15ac="http://schemas.microsoft.com/office/spreadsheetml/2010/11/ac" url="D:\Jerad\Documents\MSU documents\Marketing contracts\"/>
    </mc:Choice>
  </mc:AlternateContent>
  <xr:revisionPtr revIDLastSave="0" documentId="13_ncr:1_{16C8302E-8FCE-452D-B326-AF28A1C03C6F}" xr6:coauthVersionLast="47" xr6:coauthVersionMax="47" xr10:uidLastSave="{00000000-0000-0000-0000-000000000000}"/>
  <bookViews>
    <workbookView xWindow="28680" yWindow="-120" windowWidth="29040" windowHeight="15720" tabRatio="448" xr2:uid="{96D229E5-FD9C-4143-AFD5-D7AFC68C1708}"/>
  </bookViews>
  <sheets>
    <sheet name="Instructions" sheetId="3" r:id="rId1"/>
    <sheet name="Contract Comparison Tool" sheetId="1" r:id="rId2"/>
    <sheet name="Sensitivity Analysis" sheetId="2" r:id="rId3"/>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X9" i="1" l="1"/>
  <c r="AC9" i="1" s="1"/>
  <c r="AC11" i="1" s="1"/>
  <c r="AM9" i="1"/>
  <c r="AK9" i="2" s="1"/>
  <c r="AK11" i="2" s="1"/>
  <c r="AK12" i="2" s="1"/>
  <c r="J52" i="2"/>
  <c r="P52" i="2"/>
  <c r="AG30" i="2"/>
  <c r="G24" i="2"/>
  <c r="G25" i="2"/>
  <c r="AM28" i="2"/>
  <c r="AA28" i="2"/>
  <c r="AG28" i="2"/>
  <c r="AA30" i="2"/>
  <c r="U30" i="2"/>
  <c r="AK10" i="2"/>
  <c r="AK7" i="2"/>
  <c r="AE10" i="2"/>
  <c r="AE7" i="2"/>
  <c r="Y10" i="2"/>
  <c r="Y7" i="2"/>
  <c r="S7" i="2"/>
  <c r="S13" i="2"/>
  <c r="S14" i="2" s="1"/>
  <c r="S10" i="2"/>
  <c r="G7" i="2"/>
  <c r="M7" i="2" s="1"/>
  <c r="G10" i="2"/>
  <c r="G13" i="2"/>
  <c r="G14" i="2" s="1"/>
  <c r="AM31" i="1"/>
  <c r="N32" i="1"/>
  <c r="N31" i="1"/>
  <c r="S31" i="1"/>
  <c r="I28" i="2"/>
  <c r="O28" i="2"/>
  <c r="M28" i="2"/>
  <c r="H29" i="2"/>
  <c r="G28" i="2"/>
  <c r="AK28" i="2"/>
  <c r="AK39" i="2"/>
  <c r="AK38" i="2"/>
  <c r="AK25" i="2"/>
  <c r="AK24" i="2"/>
  <c r="AK23" i="2"/>
  <c r="AK22" i="2"/>
  <c r="AK21" i="2"/>
  <c r="AK20" i="2"/>
  <c r="AK19" i="2"/>
  <c r="AK18" i="2"/>
  <c r="AE39" i="2"/>
  <c r="AE38" i="2"/>
  <c r="AE30" i="2"/>
  <c r="AE29" i="2"/>
  <c r="AE28" i="2"/>
  <c r="AE25" i="2"/>
  <c r="AE24" i="2"/>
  <c r="AE23" i="2"/>
  <c r="AE22" i="2"/>
  <c r="AE21" i="2"/>
  <c r="AE20" i="2"/>
  <c r="AE19" i="2"/>
  <c r="AE18" i="2"/>
  <c r="Y39" i="2"/>
  <c r="Y38" i="2"/>
  <c r="Y30" i="2"/>
  <c r="Y29" i="2"/>
  <c r="Y28" i="2"/>
  <c r="Y25" i="2"/>
  <c r="Y24" i="2"/>
  <c r="Y23" i="2"/>
  <c r="Y22" i="2"/>
  <c r="Y21" i="2"/>
  <c r="Y20" i="2"/>
  <c r="Y19" i="2"/>
  <c r="Y18" i="2"/>
  <c r="S39" i="2"/>
  <c r="S38" i="2"/>
  <c r="S30" i="2"/>
  <c r="S29" i="2"/>
  <c r="S28" i="2"/>
  <c r="S25" i="2"/>
  <c r="S24" i="2"/>
  <c r="S23" i="2"/>
  <c r="S22" i="2"/>
  <c r="S21" i="2"/>
  <c r="S20" i="2"/>
  <c r="S19" i="2"/>
  <c r="S18" i="2"/>
  <c r="M39" i="2"/>
  <c r="M38" i="2"/>
  <c r="M25" i="2"/>
  <c r="M24" i="2"/>
  <c r="M23" i="2"/>
  <c r="M22" i="2"/>
  <c r="M21" i="2"/>
  <c r="M20" i="2"/>
  <c r="M19" i="2"/>
  <c r="M18" i="2"/>
  <c r="B45" i="2"/>
  <c r="AN52" i="2"/>
  <c r="AB52" i="2"/>
  <c r="AH33" i="1"/>
  <c r="AH32" i="1"/>
  <c r="AH31" i="1"/>
  <c r="AH30" i="1"/>
  <c r="AH28" i="1"/>
  <c r="AH29" i="1"/>
  <c r="S10" i="1"/>
  <c r="M10" i="2" s="1"/>
  <c r="S9" i="2" l="1"/>
  <c r="AH9" i="1"/>
  <c r="AE9" i="2" s="1"/>
  <c r="S9" i="1"/>
  <c r="AM11" i="1"/>
  <c r="Y9" i="2"/>
  <c r="Y11" i="2"/>
  <c r="Y12" i="2" s="1"/>
  <c r="S11" i="2"/>
  <c r="S12" i="2" s="1"/>
  <c r="AE11" i="2"/>
  <c r="AE12" i="2" s="1"/>
  <c r="K9" i="1"/>
  <c r="AI30" i="1"/>
  <c r="AD30" i="1"/>
  <c r="AM7" i="1"/>
  <c r="AC7" i="1"/>
  <c r="AC8" i="1" s="1" a="1"/>
  <c r="AC8" i="1" s="1"/>
  <c r="N7" i="1"/>
  <c r="U52" i="1"/>
  <c r="AN28" i="1"/>
  <c r="AM40" i="1"/>
  <c r="X40" i="1"/>
  <c r="AM41" i="1"/>
  <c r="AO41" i="1" s="1"/>
  <c r="AM39" i="1"/>
  <c r="AO39" i="1" s="1"/>
  <c r="AM38" i="1"/>
  <c r="AO38" i="1" s="1"/>
  <c r="AM37" i="1"/>
  <c r="AO37" i="1" s="1"/>
  <c r="AH39" i="1"/>
  <c r="AJ39" i="1" s="1"/>
  <c r="AH38" i="1"/>
  <c r="AJ38" i="1" s="1"/>
  <c r="AH37" i="1"/>
  <c r="AJ37" i="1" s="1"/>
  <c r="AC41" i="1"/>
  <c r="AE41" i="1" s="1"/>
  <c r="AC39" i="1"/>
  <c r="AC38" i="1"/>
  <c r="AE38" i="1" s="1"/>
  <c r="AC37" i="1"/>
  <c r="AE37" i="1" s="1"/>
  <c r="X41" i="1"/>
  <c r="X39" i="1"/>
  <c r="X38" i="1"/>
  <c r="X37" i="1"/>
  <c r="S41" i="1"/>
  <c r="U41" i="1" s="1"/>
  <c r="S39" i="1"/>
  <c r="U39" i="1" s="1"/>
  <c r="S38" i="1"/>
  <c r="U38" i="1" s="1"/>
  <c r="S37" i="1"/>
  <c r="U37" i="1" s="1"/>
  <c r="N37" i="1"/>
  <c r="N38" i="1"/>
  <c r="N39" i="1"/>
  <c r="N41" i="1"/>
  <c r="AC34" i="1"/>
  <c r="AE34" i="1" s="1"/>
  <c r="AH34" i="1"/>
  <c r="AJ34" i="1" s="1"/>
  <c r="AJ32" i="1"/>
  <c r="AJ31" i="1"/>
  <c r="AJ29" i="1"/>
  <c r="AC32" i="1"/>
  <c r="AE32" i="1" s="1"/>
  <c r="AC31" i="1"/>
  <c r="AE31" i="1" s="1"/>
  <c r="AC30" i="1"/>
  <c r="AC28" i="1"/>
  <c r="AC29" i="1"/>
  <c r="AE29" i="1" s="1"/>
  <c r="X29" i="1"/>
  <c r="AM32" i="1"/>
  <c r="AM33" i="1"/>
  <c r="AC33" i="1"/>
  <c r="S33" i="1"/>
  <c r="U33" i="1" s="1"/>
  <c r="X28" i="1"/>
  <c r="AC40" i="1"/>
  <c r="AE40" i="1" s="1"/>
  <c r="AH40" i="1"/>
  <c r="AM13" i="1"/>
  <c r="S13" i="1"/>
  <c r="M13" i="2" s="1"/>
  <c r="M14" i="2" s="1"/>
  <c r="AM45" i="1"/>
  <c r="AO45" i="1" s="1"/>
  <c r="AH45" i="1"/>
  <c r="AJ45" i="1" s="1"/>
  <c r="K45" i="1"/>
  <c r="AC45" i="1"/>
  <c r="AE45" i="1" s="1"/>
  <c r="AC44" i="1"/>
  <c r="AE44" i="1" s="1"/>
  <c r="AM44" i="1"/>
  <c r="AO44" i="1" s="1"/>
  <c r="AH44" i="1"/>
  <c r="AJ44" i="1" s="1"/>
  <c r="S44" i="1"/>
  <c r="U44" i="1" s="1"/>
  <c r="N44" i="1"/>
  <c r="AE52" i="1"/>
  <c r="AJ52" i="1" s="1"/>
  <c r="AO52" i="1" s="1"/>
  <c r="AH13" i="1"/>
  <c r="AC13" i="1"/>
  <c r="AI28" i="1"/>
  <c r="AD28" i="1"/>
  <c r="X8" i="1" a="1"/>
  <c r="X8" i="1" s="1"/>
  <c r="Z51" i="1" s="1" a="1"/>
  <c r="Z51" i="1" s="1"/>
  <c r="AM8" i="1" a="1"/>
  <c r="AM8" i="1" s="1"/>
  <c r="AM25" i="1"/>
  <c r="AO25" i="1" s="1"/>
  <c r="AM24" i="1"/>
  <c r="AO24" i="1" s="1"/>
  <c r="AM23" i="1"/>
  <c r="AO23" i="1" s="1"/>
  <c r="AM22" i="1"/>
  <c r="AO22" i="1" s="1"/>
  <c r="AM21" i="1"/>
  <c r="AO21" i="1" s="1"/>
  <c r="AM20" i="1"/>
  <c r="AO20" i="1" s="1"/>
  <c r="AM19" i="1"/>
  <c r="AO19" i="1" s="1"/>
  <c r="AM18" i="1"/>
  <c r="AO18" i="1" s="1"/>
  <c r="AH25" i="1"/>
  <c r="AJ25" i="1" s="1"/>
  <c r="AH24" i="1"/>
  <c r="AJ24" i="1" s="1"/>
  <c r="AH23" i="1"/>
  <c r="AJ23" i="1" s="1"/>
  <c r="AH22" i="1"/>
  <c r="AJ22" i="1" s="1"/>
  <c r="AH21" i="1"/>
  <c r="AJ21" i="1" s="1"/>
  <c r="AH20" i="1"/>
  <c r="AJ20" i="1" s="1"/>
  <c r="AH19" i="1"/>
  <c r="AJ19" i="1" s="1"/>
  <c r="AH18" i="1"/>
  <c r="AJ18" i="1" s="1"/>
  <c r="AH11" i="1"/>
  <c r="AH12" i="1" s="1"/>
  <c r="AE39" i="1"/>
  <c r="AC25" i="1"/>
  <c r="AE25" i="1" s="1"/>
  <c r="AC24" i="1"/>
  <c r="AE24" i="1" s="1"/>
  <c r="AC23" i="1"/>
  <c r="AE23" i="1" s="1"/>
  <c r="AC22" i="1"/>
  <c r="AE22" i="1" s="1"/>
  <c r="AC21" i="1"/>
  <c r="AE21" i="1" s="1"/>
  <c r="AC20" i="1"/>
  <c r="AE20" i="1" s="1"/>
  <c r="AC19" i="1"/>
  <c r="AE19" i="1" s="1"/>
  <c r="AC18" i="1"/>
  <c r="AE18" i="1" s="1"/>
  <c r="AC12" i="1"/>
  <c r="T28" i="1"/>
  <c r="S25" i="1"/>
  <c r="U25" i="1" s="1"/>
  <c r="X33" i="1"/>
  <c r="N33" i="1"/>
  <c r="S32" i="1"/>
  <c r="X32" i="1"/>
  <c r="S24" i="1"/>
  <c r="U24" i="1" s="1"/>
  <c r="S23" i="1"/>
  <c r="U23" i="1" s="1"/>
  <c r="S22" i="1"/>
  <c r="U22" i="1" s="1"/>
  <c r="S21" i="1"/>
  <c r="U21" i="1" s="1"/>
  <c r="S20" i="1"/>
  <c r="U20" i="1" s="1"/>
  <c r="S19" i="1"/>
  <c r="U19" i="1" s="1"/>
  <c r="S18" i="1"/>
  <c r="U18" i="1" s="1"/>
  <c r="AE30" i="1" l="1"/>
  <c r="AC14" i="1"/>
  <c r="Y13" i="2"/>
  <c r="Y14" i="2" s="1"/>
  <c r="AH14" i="1"/>
  <c r="AE13" i="2"/>
  <c r="AE14" i="2" s="1"/>
  <c r="AM14" i="1"/>
  <c r="AK13" i="2"/>
  <c r="AK14" i="2" s="1"/>
  <c r="AE51" i="1" a="1"/>
  <c r="AE51" i="1" s="1"/>
  <c r="AE49" i="1"/>
  <c r="AE28" i="1"/>
  <c r="AJ30" i="1"/>
  <c r="AJ28" i="1"/>
  <c r="AO49" i="1"/>
  <c r="AJ49" i="1"/>
  <c r="U49" i="1"/>
  <c r="AM32" i="2" l="1"/>
  <c r="AM31" i="2"/>
  <c r="P52" i="1" l="1"/>
  <c r="P33" i="1"/>
  <c r="N25" i="1"/>
  <c r="P25" i="1" s="1"/>
  <c r="N24" i="1"/>
  <c r="P24" i="1" s="1"/>
  <c r="N23" i="1"/>
  <c r="P23" i="1" s="1"/>
  <c r="N22" i="1"/>
  <c r="P22" i="1" s="1"/>
  <c r="N21" i="1"/>
  <c r="P21" i="1" s="1"/>
  <c r="N20" i="1"/>
  <c r="P20" i="1" s="1"/>
  <c r="N19" i="1"/>
  <c r="P19" i="1" s="1"/>
  <c r="N18" i="1"/>
  <c r="P18" i="1" s="1"/>
  <c r="B9" i="2" l="1"/>
  <c r="G18" i="2"/>
  <c r="G23" i="2"/>
  <c r="G22" i="2"/>
  <c r="G21" i="2"/>
  <c r="G20" i="2"/>
  <c r="G19" i="2"/>
  <c r="X34" i="1"/>
  <c r="P41" i="1"/>
  <c r="X44" i="1"/>
  <c r="P44" i="1"/>
  <c r="Z39" i="1"/>
  <c r="Z38" i="1"/>
  <c r="Z37" i="1"/>
  <c r="P39" i="1"/>
  <c r="P38" i="1"/>
  <c r="P37" i="1"/>
  <c r="Z29" i="1"/>
  <c r="X21" i="1"/>
  <c r="Z21" i="1" s="1"/>
  <c r="K41" i="1"/>
  <c r="K40" i="1"/>
  <c r="K39" i="1"/>
  <c r="K38" i="1"/>
  <c r="K37" i="1"/>
  <c r="X22" i="1"/>
  <c r="X20" i="1"/>
  <c r="B10" i="2"/>
  <c r="AE8" i="2" l="1" a="1"/>
  <c r="AE8" i="2" s="1"/>
  <c r="AH51" i="2" s="1" a="1"/>
  <c r="AH51" i="2" s="1"/>
  <c r="Y8" i="2" a="1"/>
  <c r="Y8" i="2" s="1"/>
  <c r="AB51" i="2" s="1" a="1"/>
  <c r="AB51" i="2" s="1"/>
  <c r="AK8" i="2" a="1"/>
  <c r="AK8" i="2" s="1"/>
  <c r="AN51" i="2" s="1" a="1"/>
  <c r="AN51" i="2" s="1"/>
  <c r="M8" i="2" a="1"/>
  <c r="M8" i="2" s="1"/>
  <c r="G8" i="2" a="1"/>
  <c r="G8" i="2" s="1"/>
  <c r="S8" i="2" a="1"/>
  <c r="S8" i="2" s="1"/>
  <c r="V51" i="2" s="1" a="1"/>
  <c r="V51" i="2" s="1"/>
  <c r="S40" i="1"/>
  <c r="N40" i="1"/>
  <c r="N8" i="1" l="1" a="1"/>
  <c r="N8" i="1" s="1"/>
  <c r="S7" i="1"/>
  <c r="S8" i="1" l="1" a="1"/>
  <c r="S8" i="1" s="1"/>
  <c r="AH7" i="1"/>
  <c r="AH8" i="1" s="1" a="1"/>
  <c r="AH8" i="1" s="1"/>
  <c r="AJ51" i="1" s="1" a="1"/>
  <c r="AJ51" i="1" s="1"/>
  <c r="X25" i="1"/>
  <c r="K25" i="1"/>
  <c r="B25" i="2" s="1"/>
  <c r="D25" i="2" s="1"/>
  <c r="Y30" i="1"/>
  <c r="AL25" i="2" l="1"/>
  <c r="N25" i="2"/>
  <c r="H25" i="2"/>
  <c r="J25" i="2" s="1"/>
  <c r="Z25" i="2"/>
  <c r="T25" i="2"/>
  <c r="AF25" i="2"/>
  <c r="P25" i="2"/>
  <c r="X24" i="1"/>
  <c r="Z24" i="1" s="1"/>
  <c r="X23" i="1"/>
  <c r="Z23" i="1" s="1"/>
  <c r="Z22" i="1"/>
  <c r="X19" i="1"/>
  <c r="Z19" i="1" s="1"/>
  <c r="X18" i="1"/>
  <c r="Z18" i="1" s="1"/>
  <c r="Z20" i="1"/>
  <c r="Z25" i="1"/>
  <c r="Z44" i="1"/>
  <c r="K19" i="1"/>
  <c r="B19" i="2" s="1"/>
  <c r="D19" i="2" s="1"/>
  <c r="Z41" i="1"/>
  <c r="Z40" i="1"/>
  <c r="X30" i="1"/>
  <c r="Z30" i="1" s="1"/>
  <c r="X31" i="1"/>
  <c r="Z31" i="1" s="1"/>
  <c r="Z32" i="1"/>
  <c r="Z34" i="1"/>
  <c r="Z33" i="1"/>
  <c r="Z28" i="1"/>
  <c r="K22" i="1"/>
  <c r="B22" i="2" s="1"/>
  <c r="D22" i="2" s="1"/>
  <c r="D45" i="2"/>
  <c r="K44" i="1"/>
  <c r="B44" i="2" s="1"/>
  <c r="D44" i="2" s="1"/>
  <c r="K24" i="1"/>
  <c r="B24" i="2" s="1"/>
  <c r="D24" i="2" s="1"/>
  <c r="K23" i="1"/>
  <c r="B23" i="2" s="1"/>
  <c r="D23" i="2" s="1"/>
  <c r="K21" i="1"/>
  <c r="B21" i="2" s="1"/>
  <c r="D21" i="2" s="1"/>
  <c r="K20" i="1"/>
  <c r="B20" i="2" s="1"/>
  <c r="D20" i="2" s="1"/>
  <c r="K18" i="1"/>
  <c r="B18" i="2" s="1"/>
  <c r="D18" i="2" s="1"/>
  <c r="B41" i="2"/>
  <c r="D41" i="2" s="1"/>
  <c r="B39" i="2"/>
  <c r="D39" i="2" s="1"/>
  <c r="B38" i="2"/>
  <c r="D38" i="2" s="1"/>
  <c r="B37" i="2"/>
  <c r="D37" i="2" s="1"/>
  <c r="K34" i="1"/>
  <c r="B34" i="2" s="1"/>
  <c r="D34" i="2" s="1"/>
  <c r="K33" i="1"/>
  <c r="B33" i="2" s="1"/>
  <c r="D33" i="2" s="1"/>
  <c r="K32" i="1"/>
  <c r="B32" i="2" s="1"/>
  <c r="D32" i="2" s="1"/>
  <c r="K31" i="1"/>
  <c r="B31" i="2" s="1"/>
  <c r="D31" i="2" s="1"/>
  <c r="K29" i="1"/>
  <c r="K30" i="1"/>
  <c r="B30" i="2" s="1"/>
  <c r="D30" i="2" s="1"/>
  <c r="K28" i="1"/>
  <c r="K12" i="1"/>
  <c r="AE48" i="1" s="1"/>
  <c r="K8" i="1"/>
  <c r="P40" i="1" l="1"/>
  <c r="Z50" i="1"/>
  <c r="N20" i="2"/>
  <c r="P20" i="2" s="1"/>
  <c r="Z20" i="2"/>
  <c r="AL20" i="2"/>
  <c r="AF20" i="2"/>
  <c r="T20" i="2"/>
  <c r="H20" i="2"/>
  <c r="J20" i="2" s="1"/>
  <c r="Z24" i="2"/>
  <c r="AL24" i="2"/>
  <c r="H24" i="2"/>
  <c r="T24" i="2"/>
  <c r="AF24" i="2"/>
  <c r="N24" i="2"/>
  <c r="P24" i="2" s="1"/>
  <c r="AF30" i="2"/>
  <c r="AH30" i="2" s="1"/>
  <c r="T30" i="2"/>
  <c r="V30" i="2" s="1"/>
  <c r="Z30" i="2"/>
  <c r="AB30" i="2" s="1"/>
  <c r="AL38" i="2"/>
  <c r="Z38" i="2"/>
  <c r="T38" i="2"/>
  <c r="AF38" i="2"/>
  <c r="N38" i="2"/>
  <c r="AF22" i="2"/>
  <c r="AL22" i="2"/>
  <c r="N22" i="2"/>
  <c r="T22" i="2"/>
  <c r="Z22" i="2"/>
  <c r="H22" i="2"/>
  <c r="J22" i="2" s="1"/>
  <c r="T21" i="2"/>
  <c r="AF21" i="2"/>
  <c r="Z21" i="2"/>
  <c r="AL21" i="2"/>
  <c r="N21" i="2"/>
  <c r="P21" i="2" s="1"/>
  <c r="H21" i="2"/>
  <c r="J21" i="2" s="1"/>
  <c r="AF23" i="2"/>
  <c r="N23" i="2"/>
  <c r="P23" i="2" s="1"/>
  <c r="Z23" i="2"/>
  <c r="AL23" i="2"/>
  <c r="T23" i="2"/>
  <c r="H23" i="2"/>
  <c r="J23" i="2" s="1"/>
  <c r="AF39" i="2"/>
  <c r="AL39" i="2"/>
  <c r="N39" i="2"/>
  <c r="T39" i="2"/>
  <c r="Z39" i="2"/>
  <c r="Z18" i="2"/>
  <c r="AB18" i="2" s="1"/>
  <c r="T18" i="2"/>
  <c r="V18" i="2" s="1"/>
  <c r="AF18" i="2"/>
  <c r="N18" i="2"/>
  <c r="P18" i="2" s="1"/>
  <c r="AL18" i="2"/>
  <c r="H18" i="2"/>
  <c r="AL19" i="2"/>
  <c r="AF19" i="2"/>
  <c r="T19" i="2"/>
  <c r="V19" i="2" s="1"/>
  <c r="N19" i="2"/>
  <c r="P19" i="2" s="1"/>
  <c r="Z19" i="2"/>
  <c r="AB19" i="2" s="1"/>
  <c r="H19" i="2"/>
  <c r="J19" i="2" s="1"/>
  <c r="AB25" i="2"/>
  <c r="V25" i="2"/>
  <c r="AM28" i="1"/>
  <c r="AO28" i="1" s="1"/>
  <c r="S28" i="1"/>
  <c r="U28" i="1" s="1"/>
  <c r="L28" i="1"/>
  <c r="AO40" i="1"/>
  <c r="U40" i="1"/>
  <c r="N28" i="1"/>
  <c r="AJ48" i="1"/>
  <c r="U53" i="1"/>
  <c r="AO53" i="1"/>
  <c r="AJ53" i="1"/>
  <c r="AE53" i="1"/>
  <c r="J24" i="2"/>
  <c r="B28" i="2"/>
  <c r="D28" i="2" s="1"/>
  <c r="B40" i="2"/>
  <c r="D40" i="2" s="1"/>
  <c r="P53" i="1"/>
  <c r="B8" i="2"/>
  <c r="K14" i="1"/>
  <c r="AM12" i="1" s="1"/>
  <c r="AN31" i="1" s="1"/>
  <c r="B12" i="2"/>
  <c r="B29" i="2"/>
  <c r="P49" i="1"/>
  <c r="K13" i="1"/>
  <c r="AN48" i="2" l="1"/>
  <c r="V48" i="2"/>
  <c r="AB48" i="2"/>
  <c r="AH48" i="2"/>
  <c r="P53" i="2"/>
  <c r="V53" i="2"/>
  <c r="AN53" i="2"/>
  <c r="AH53" i="2"/>
  <c r="AB53" i="2"/>
  <c r="AO31" i="1"/>
  <c r="AN32" i="1"/>
  <c r="P49" i="2"/>
  <c r="Z28" i="2"/>
  <c r="AB28" i="2" s="1"/>
  <c r="T28" i="2"/>
  <c r="AF28" i="2"/>
  <c r="AN40" i="2"/>
  <c r="P40" i="2"/>
  <c r="V24" i="2"/>
  <c r="AB24" i="2"/>
  <c r="AN18" i="2"/>
  <c r="AH18" i="2"/>
  <c r="V21" i="2"/>
  <c r="AB21" i="2"/>
  <c r="V23" i="2"/>
  <c r="AB23" i="2"/>
  <c r="AN25" i="2"/>
  <c r="AH25" i="2"/>
  <c r="V20" i="2"/>
  <c r="AB20" i="2"/>
  <c r="AN19" i="2"/>
  <c r="AH19" i="2"/>
  <c r="AO48" i="1"/>
  <c r="AO51" i="1" a="1"/>
  <c r="AO51" i="1" s="1"/>
  <c r="D29" i="2"/>
  <c r="J28" i="2" s="1"/>
  <c r="P22" i="2"/>
  <c r="B13" i="2"/>
  <c r="B14" i="2"/>
  <c r="B11" i="2"/>
  <c r="J53" i="2"/>
  <c r="H28" i="2" l="1"/>
  <c r="P28" i="2"/>
  <c r="AL28" i="2"/>
  <c r="AE37" i="2"/>
  <c r="AF37" i="2" s="1"/>
  <c r="Y45" i="2"/>
  <c r="Z45" i="2" s="1"/>
  <c r="Y32" i="2"/>
  <c r="Z32" i="2" s="1"/>
  <c r="AB32" i="2" s="1"/>
  <c r="Y34" i="2"/>
  <c r="Z34" i="2" s="1"/>
  <c r="AB34" i="2" s="1"/>
  <c r="G31" i="2"/>
  <c r="H31" i="2" s="1"/>
  <c r="M32" i="2"/>
  <c r="N32" i="2" s="1"/>
  <c r="AK37" i="2"/>
  <c r="AL37" i="2" s="1"/>
  <c r="AE34" i="2"/>
  <c r="AF34" i="2" s="1"/>
  <c r="AH34" i="2" s="1"/>
  <c r="Y44" i="2"/>
  <c r="Z44" i="2" s="1"/>
  <c r="Y31" i="2"/>
  <c r="Z31" i="2" s="1"/>
  <c r="AB31" i="2" s="1"/>
  <c r="M31" i="2"/>
  <c r="N31" i="2" s="1"/>
  <c r="AE45" i="2"/>
  <c r="AF45" i="2" s="1"/>
  <c r="AE33" i="2"/>
  <c r="AF33" i="2" s="1"/>
  <c r="Y41" i="2"/>
  <c r="Z41" i="2" s="1"/>
  <c r="S37" i="2"/>
  <c r="T37" i="2" s="1"/>
  <c r="M44" i="2"/>
  <c r="N44" i="2" s="1"/>
  <c r="P44" i="2" s="1"/>
  <c r="S41" i="2"/>
  <c r="T41" i="2" s="1"/>
  <c r="M33" i="2"/>
  <c r="N33" i="2" s="1"/>
  <c r="P33" i="2" s="1"/>
  <c r="AK45" i="2"/>
  <c r="AL45" i="2" s="1"/>
  <c r="AE44" i="2"/>
  <c r="AF44" i="2" s="1"/>
  <c r="AE32" i="2"/>
  <c r="AF32" i="2" s="1"/>
  <c r="AH32" i="2" s="1"/>
  <c r="S34" i="2"/>
  <c r="T34" i="2" s="1"/>
  <c r="V34" i="2" s="1"/>
  <c r="M41" i="2"/>
  <c r="N41" i="2" s="1"/>
  <c r="P41" i="2" s="1"/>
  <c r="G44" i="2"/>
  <c r="H44" i="2" s="1"/>
  <c r="J44" i="2" s="1"/>
  <c r="G33" i="2"/>
  <c r="H33" i="2" s="1"/>
  <c r="J33" i="2" s="1"/>
  <c r="G32" i="2"/>
  <c r="H32" i="2" s="1"/>
  <c r="Y33" i="2"/>
  <c r="Z33" i="2" s="1"/>
  <c r="AB33" i="2" s="1"/>
  <c r="AK44" i="2"/>
  <c r="AL44" i="2" s="1"/>
  <c r="AE41" i="2"/>
  <c r="AF41" i="2" s="1"/>
  <c r="AE31" i="2"/>
  <c r="AF31" i="2" s="1"/>
  <c r="S33" i="2"/>
  <c r="T33" i="2" s="1"/>
  <c r="M40" i="2"/>
  <c r="N40" i="2" s="1"/>
  <c r="S31" i="2"/>
  <c r="T31" i="2" s="1"/>
  <c r="S40" i="2"/>
  <c r="T40" i="2" s="1"/>
  <c r="Y40" i="2"/>
  <c r="Z40" i="2" s="1"/>
  <c r="AB40" i="2" s="1"/>
  <c r="AK33" i="2"/>
  <c r="AL33" i="2" s="1"/>
  <c r="AN33" i="2" s="1"/>
  <c r="AK41" i="2"/>
  <c r="AL41" i="2" s="1"/>
  <c r="AE40" i="2"/>
  <c r="AF40" i="2" s="1"/>
  <c r="Y37" i="2"/>
  <c r="Z37" i="2" s="1"/>
  <c r="S44" i="2"/>
  <c r="T44" i="2" s="1"/>
  <c r="S32" i="2"/>
  <c r="T32" i="2" s="1"/>
  <c r="V32" i="2" s="1"/>
  <c r="AK32" i="2"/>
  <c r="AL32" i="2" s="1"/>
  <c r="AN32" i="2" s="1"/>
  <c r="AK40" i="2"/>
  <c r="AL40" i="2" s="1"/>
  <c r="AK31" i="2"/>
  <c r="AL31" i="2" s="1"/>
  <c r="AN31" i="2" s="1"/>
  <c r="M37" i="2"/>
  <c r="N37" i="2" s="1"/>
  <c r="P37" i="2" s="1"/>
  <c r="N29" i="2"/>
  <c r="T29" i="2"/>
  <c r="V29" i="2" s="1"/>
  <c r="Z29" i="2"/>
  <c r="AB29" i="2" s="1"/>
  <c r="AF29" i="2"/>
  <c r="AH29" i="2" s="1"/>
  <c r="N28" i="2"/>
  <c r="AN28" i="2"/>
  <c r="AN24" i="2"/>
  <c r="AH24" i="2"/>
  <c r="AH21" i="2"/>
  <c r="AN21" i="2"/>
  <c r="AN20" i="2"/>
  <c r="AH20" i="2"/>
  <c r="AB22" i="2"/>
  <c r="AB49" i="2" s="1"/>
  <c r="V22" i="2"/>
  <c r="V49" i="2" s="1"/>
  <c r="AH23" i="2"/>
  <c r="AN23" i="2"/>
  <c r="AO32" i="1"/>
  <c r="P39" i="2"/>
  <c r="P38" i="2"/>
  <c r="G39" i="2"/>
  <c r="G38" i="2"/>
  <c r="G41" i="2"/>
  <c r="G40" i="2"/>
  <c r="H40" i="2" s="1"/>
  <c r="J40" i="2" s="1"/>
  <c r="G37" i="2"/>
  <c r="AL29" i="2" l="1"/>
  <c r="H38" i="2"/>
  <c r="J38" i="2" s="1"/>
  <c r="H39" i="2"/>
  <c r="J39" i="2" s="1"/>
  <c r="H41" i="2"/>
  <c r="J41" i="2" s="1"/>
  <c r="H37" i="2"/>
  <c r="J37" i="2" s="1"/>
  <c r="AN22" i="2"/>
  <c r="AN49" i="2" s="1"/>
  <c r="AH22" i="2"/>
  <c r="AH49" i="2" s="1"/>
  <c r="V37" i="2"/>
  <c r="AB37" i="2"/>
  <c r="V44" i="2"/>
  <c r="AB44" i="2"/>
  <c r="V38" i="2"/>
  <c r="AB38" i="2"/>
  <c r="V39" i="2"/>
  <c r="AB39" i="2"/>
  <c r="V41" i="2"/>
  <c r="AB41" i="2"/>
  <c r="AB45" i="2"/>
  <c r="V33" i="2"/>
  <c r="AH33" i="2" s="1"/>
  <c r="AB50" i="2" l="1"/>
  <c r="AB54" i="2" s="1"/>
  <c r="AN44" i="2"/>
  <c r="AH44" i="2"/>
  <c r="AH41" i="2"/>
  <c r="AN41" i="2"/>
  <c r="AH37" i="2"/>
  <c r="AN37" i="2"/>
  <c r="AN39" i="2"/>
  <c r="AH39" i="2"/>
  <c r="V28" i="2"/>
  <c r="V40" i="2"/>
  <c r="AH38" i="2"/>
  <c r="AN38" i="2"/>
  <c r="AH45" i="2"/>
  <c r="AN45" i="2"/>
  <c r="V31" i="2"/>
  <c r="V50" i="2" s="1"/>
  <c r="V54" i="2" s="1"/>
  <c r="Z53" i="1"/>
  <c r="K11" i="1"/>
  <c r="O28" i="1"/>
  <c r="P28" i="1" s="1"/>
  <c r="AN50" i="2" l="1"/>
  <c r="AH40" i="2"/>
  <c r="AH28" i="2"/>
  <c r="AH31" i="2"/>
  <c r="AE33" i="1"/>
  <c r="AE50" i="1" s="1"/>
  <c r="Z49" i="1"/>
  <c r="AH50" i="2" l="1"/>
  <c r="AH54" i="2" s="1"/>
  <c r="AB57" i="2"/>
  <c r="AB58" i="2" s="1"/>
  <c r="AN54" i="2"/>
  <c r="AB65" i="2" s="1"/>
  <c r="AB66" i="2" s="1"/>
  <c r="AE54" i="1"/>
  <c r="J18" i="2"/>
  <c r="J49" i="2" s="1"/>
  <c r="AB61" i="2" l="1"/>
  <c r="AB62" i="2" s="1"/>
  <c r="AB67" i="2"/>
  <c r="AB68" i="2" s="1"/>
  <c r="AB59" i="2"/>
  <c r="AB60" i="2" s="1"/>
  <c r="AB63" i="2"/>
  <c r="AB64" i="2" s="1"/>
  <c r="X14" i="1" l="1"/>
  <c r="N14" i="1"/>
  <c r="S14" i="1" l="1"/>
  <c r="X12" i="1"/>
  <c r="Z48" i="1" s="1"/>
  <c r="N9" i="1"/>
  <c r="G9" i="2" s="1"/>
  <c r="G11" i="2" s="1"/>
  <c r="G12" i="2" s="1"/>
  <c r="I31" i="2" s="1"/>
  <c r="J48" i="2" l="1"/>
  <c r="J31" i="2"/>
  <c r="I32" i="2"/>
  <c r="J32" i="2" s="1"/>
  <c r="N11" i="1"/>
  <c r="Z54" i="1"/>
  <c r="AE57" i="1" s="1"/>
  <c r="J50" i="2" l="1"/>
  <c r="N12" i="1"/>
  <c r="O31" i="1" s="1"/>
  <c r="P51" i="1" a="1"/>
  <c r="P51" i="1" s="1"/>
  <c r="AH41" i="1"/>
  <c r="AE58" i="1"/>
  <c r="AO33" i="1"/>
  <c r="AO50" i="1" s="1"/>
  <c r="J51" i="2" a="1"/>
  <c r="J51" i="2" s="1"/>
  <c r="P48" i="1" l="1"/>
  <c r="O32" i="1"/>
  <c r="P32" i="1" s="1"/>
  <c r="P50" i="1" s="1"/>
  <c r="P31" i="1"/>
  <c r="J54" i="2"/>
  <c r="AJ41" i="1"/>
  <c r="AJ40" i="1"/>
  <c r="P59" i="2" l="1"/>
  <c r="P60" i="2" s="1"/>
  <c r="P54" i="1"/>
  <c r="AJ33" i="1" l="1"/>
  <c r="U59" i="1"/>
  <c r="U60" i="1" s="1"/>
  <c r="AO54" i="1"/>
  <c r="AJ50" i="1" l="1"/>
  <c r="AJ54" i="1" s="1"/>
  <c r="AE65" i="1"/>
  <c r="AE66" i="1" s="1"/>
  <c r="AE61" i="1"/>
  <c r="AE62" i="1" s="1"/>
  <c r="AE59" i="1" l="1"/>
  <c r="AE60" i="1" s="1"/>
  <c r="AE67" i="1"/>
  <c r="AE68" i="1" s="1"/>
  <c r="AE63" i="1"/>
  <c r="AE64" i="1" s="1"/>
  <c r="M9" i="2"/>
  <c r="M11" i="2" s="1"/>
  <c r="S11" i="1"/>
  <c r="S12" i="1" s="1"/>
  <c r="U51" i="1" l="1" a="1"/>
  <c r="U51" i="1" s="1"/>
  <c r="M12" i="2"/>
  <c r="P51" i="2" a="1"/>
  <c r="P51" i="2" s="1"/>
  <c r="T32" i="1"/>
  <c r="U32" i="1" s="1"/>
  <c r="U50" i="1" s="1"/>
  <c r="T31" i="1"/>
  <c r="U31" i="1" s="1"/>
  <c r="U48" i="1"/>
  <c r="O31" i="2"/>
  <c r="P31" i="2" s="1"/>
  <c r="O32" i="2"/>
  <c r="P32" i="2" s="1"/>
  <c r="P48" i="2"/>
  <c r="U54" i="1" l="1"/>
  <c r="U61" i="1" s="1"/>
  <c r="U62" i="1" s="1"/>
  <c r="P50" i="2"/>
  <c r="P54" i="2" s="1"/>
  <c r="U57" i="1" l="1"/>
  <c r="U58" i="1" s="1"/>
  <c r="P61" i="2"/>
  <c r="P62" i="2" s="1"/>
  <c r="P57" i="2"/>
  <c r="P58" i="2"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Jaborek, Jerad</author>
  </authors>
  <commentList>
    <comment ref="K3" authorId="0" shapeId="0" xr:uid="{5BC4EDA1-9BC8-413A-8B1D-7B480738F5A3}">
      <text>
        <r>
          <rPr>
            <b/>
            <sz val="9"/>
            <color indexed="81"/>
            <rFont val="Tahoma"/>
            <family val="2"/>
          </rPr>
          <t>Jaborek, Jerad:</t>
        </r>
        <r>
          <rPr>
            <sz val="9"/>
            <color indexed="81"/>
            <rFont val="Tahoma"/>
            <family val="2"/>
          </rPr>
          <t xml:space="preserve">
The USDA AMS National Weekly Direct Slaughter Cattle - Premiums and Discounts (LM_CT155) report can be used to determine the average premium for Prime graded cattle.</t>
        </r>
      </text>
    </comment>
    <comment ref="K5" authorId="0" shapeId="0" xr:uid="{2182AB99-0E57-463C-914E-F7087183920E}">
      <text>
        <r>
          <rPr>
            <b/>
            <sz val="9"/>
            <color indexed="81"/>
            <rFont val="Tahoma"/>
            <family val="2"/>
          </rPr>
          <t>Jaborek, Jerad:</t>
        </r>
        <r>
          <rPr>
            <sz val="9"/>
            <color indexed="81"/>
            <rFont val="Tahoma"/>
            <family val="2"/>
          </rPr>
          <t xml:space="preserve">
The USDA AMS National Weekly Direct Slaughter Cattle - Premiums and Discounts (LM_CT155) report can be used to determine the average premium for Select graded cattle.  The USDA AMS National Daily Cattle &amp; Beef Summary report can also be used to find the Choice/Select Spread.</t>
        </r>
      </text>
    </comment>
    <comment ref="N10" authorId="0" shapeId="0" xr:uid="{8DA96851-760A-4750-9957-1D835CF4E088}">
      <text>
        <r>
          <rPr>
            <b/>
            <sz val="9"/>
            <color indexed="81"/>
            <rFont val="Tahoma"/>
            <family val="2"/>
          </rPr>
          <t>Jaborek, Jerad:</t>
        </r>
        <r>
          <rPr>
            <sz val="9"/>
            <color indexed="81"/>
            <rFont val="Tahoma"/>
            <family val="2"/>
          </rPr>
          <t xml:space="preserve">
Basis changes depending on the month.  -$13 in April.</t>
        </r>
      </text>
    </comment>
    <comment ref="S10" authorId="0" shapeId="0" xr:uid="{DEEC3CA8-6BC3-4F80-B4D1-D6224D527BE6}">
      <text>
        <r>
          <rPr>
            <b/>
            <sz val="9"/>
            <color indexed="81"/>
            <rFont val="Tahoma"/>
            <family val="2"/>
          </rPr>
          <t>Jaborek, Jerad:</t>
        </r>
        <r>
          <rPr>
            <sz val="9"/>
            <color indexed="81"/>
            <rFont val="Tahoma"/>
            <family val="2"/>
          </rPr>
          <t xml:space="preserve">
Basis changes depending on the month.  -$13 in April.</t>
        </r>
      </text>
    </comment>
    <comment ref="AM10" authorId="0" shapeId="0" xr:uid="{E77E31AB-AE7D-4582-A288-845CC972DEFC}">
      <text>
        <r>
          <rPr>
            <b/>
            <sz val="9"/>
            <color indexed="81"/>
            <rFont val="Tahoma"/>
            <family val="2"/>
          </rPr>
          <t>Jaborek, Jerad:</t>
        </r>
        <r>
          <rPr>
            <sz val="9"/>
            <color indexed="81"/>
            <rFont val="Tahoma"/>
            <family val="2"/>
          </rPr>
          <t xml:space="preserve">
Basis changes depending on the month.  +$4 for May, +$2 for June through September.</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Jaborek, Jerad</author>
  </authors>
  <commentList>
    <comment ref="B3" authorId="0" shapeId="0" xr:uid="{49E04B30-E286-45BD-AF03-75BECD645050}">
      <text>
        <r>
          <rPr>
            <b/>
            <sz val="9"/>
            <color indexed="81"/>
            <rFont val="Tahoma"/>
            <family val="2"/>
          </rPr>
          <t>Jaborek, Jerad:</t>
        </r>
        <r>
          <rPr>
            <sz val="9"/>
            <color indexed="81"/>
            <rFont val="Tahoma"/>
            <family val="2"/>
          </rPr>
          <t xml:space="preserve">
The USDA AMS National Weekly Direct Slaughter Cattle - Premiums and Discounts (LM_CT155) report can be used to determine the average premium for Prime graded cattle.</t>
        </r>
      </text>
    </comment>
    <comment ref="B5" authorId="0" shapeId="0" xr:uid="{534CF996-95BC-48B5-87E0-818909D9FF5B}">
      <text>
        <r>
          <rPr>
            <b/>
            <sz val="9"/>
            <color indexed="81"/>
            <rFont val="Tahoma"/>
            <family val="2"/>
          </rPr>
          <t>Jaborek, Jerad:</t>
        </r>
        <r>
          <rPr>
            <sz val="9"/>
            <color indexed="81"/>
            <rFont val="Tahoma"/>
            <family val="2"/>
          </rPr>
          <t xml:space="preserve">
The USDA AMS National Weekly Direct Slaughter Cattle - Premiums and Discounts (LM_CT155) report can be used to determine the average premium for Select graded cattle.  The USDA AMS National Daily Cattle &amp; Beef Summary report can also be used to find the Choice/Select Spread.</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<sst xmlns="http://schemas.openxmlformats.org/spreadsheetml/2006/main" count="1045" uniqueCount="142">
  <si>
    <t>Animal ID</t>
  </si>
  <si>
    <t>Quality Grade</t>
  </si>
  <si>
    <t>Yield Grade</t>
  </si>
  <si>
    <t>Summary Stats</t>
  </si>
  <si>
    <t>Prime</t>
  </si>
  <si>
    <t>Choice</t>
  </si>
  <si>
    <t>Select</t>
  </si>
  <si>
    <t>Standard</t>
  </si>
  <si>
    <t>Yellow Fat</t>
  </si>
  <si>
    <t>Less than 599.9</t>
  </si>
  <si>
    <t>600 - 649.9</t>
  </si>
  <si>
    <t>650 - 699.9</t>
  </si>
  <si>
    <t>700 - 999.9</t>
  </si>
  <si>
    <t>1000 - 1049.9</t>
  </si>
  <si>
    <t>1050 - 1099.9</t>
  </si>
  <si>
    <t>1100 - 1199.9</t>
  </si>
  <si>
    <t>Over 30 months old</t>
  </si>
  <si>
    <t>Number of Head</t>
  </si>
  <si>
    <t>Average Dressing Percentage</t>
  </si>
  <si>
    <t>1200 and Greater</t>
  </si>
  <si>
    <t>Hot Carcass Weight (lb.)</t>
  </si>
  <si>
    <t>Beef Council Fee</t>
  </si>
  <si>
    <t>Dressing Percentage</t>
  </si>
  <si>
    <t>Live Contract Price</t>
  </si>
  <si>
    <t>Carcass Contract Price</t>
  </si>
  <si>
    <t>CME Futures Price</t>
  </si>
  <si>
    <t>Basis</t>
  </si>
  <si>
    <t>Current Live Cash Price</t>
  </si>
  <si>
    <t>Contracted Total Live Weight</t>
  </si>
  <si>
    <t>Excess Weight</t>
  </si>
  <si>
    <t>Age Over 30 Months</t>
  </si>
  <si>
    <t>Dark Cutter</t>
  </si>
  <si>
    <t>No</t>
  </si>
  <si>
    <t>No Roll</t>
  </si>
  <si>
    <t>Premium/Discount ($/cwt)</t>
  </si>
  <si>
    <t>Value ($)</t>
  </si>
  <si>
    <t>Total Weight (lb.)</t>
  </si>
  <si>
    <t>Hot Weight (lb.)</t>
  </si>
  <si>
    <t>Choice/Select Spread ($/cwt)</t>
  </si>
  <si>
    <t>YG 5</t>
  </si>
  <si>
    <t>Percent Choice &amp; Prime (70%)</t>
  </si>
  <si>
    <t>Percent YG 4 (5%)</t>
  </si>
  <si>
    <t>Hot Carcass Weight</t>
  </si>
  <si>
    <t>YG 4</t>
  </si>
  <si>
    <t>Net Revenue</t>
  </si>
  <si>
    <t>Load Size Adjustments</t>
  </si>
  <si>
    <t>Gross Revenue</t>
  </si>
  <si>
    <t>Grid Premiums and Discounts</t>
  </si>
  <si>
    <t>Carcass Weight Discounts</t>
  </si>
  <si>
    <t>Change (No.)</t>
  </si>
  <si>
    <t>Discount ($/cwt)</t>
  </si>
  <si>
    <t>1) In addition to this instruction tab, there are two other tabs found at the bottom of the page.  Only grey highlighted cells are allowed to be changed.</t>
  </si>
  <si>
    <t>General Instructions</t>
  </si>
  <si>
    <t>Sensitivity Analysis</t>
  </si>
  <si>
    <t>Origninal (No.)</t>
  </si>
  <si>
    <t>New Total (No.)</t>
  </si>
  <si>
    <t>Total Live Weight (lb.)</t>
  </si>
  <si>
    <t>Average Live Weight (lb.)</t>
  </si>
  <si>
    <t>Total Hot Weight (lb.)</t>
  </si>
  <si>
    <t>Average Hot Weight (lb.)</t>
  </si>
  <si>
    <t>(No.)</t>
  </si>
  <si>
    <t>YG 1</t>
  </si>
  <si>
    <t>YG 2</t>
  </si>
  <si>
    <t>YG 3</t>
  </si>
  <si>
    <t>Average Weight (lb.)</t>
  </si>
  <si>
    <t>2) Column C allows the producer to change (+/-) the number of cattle for each summary statistic category (i.e., prime, YG4, etc.).  You do not want a negative number in column D, as this is not possible in reality.</t>
  </si>
  <si>
    <t>Contract Comparison Tool</t>
  </si>
  <si>
    <t>1) Much of the information (i.e., summary statistic counts and average weights) on the "Sensitity Analysis" tab is propagated from the "Contract Comparison Tool" tab.</t>
  </si>
  <si>
    <t>Number of Outs</t>
  </si>
  <si>
    <t>Current Carcass Cash Price</t>
  </si>
  <si>
    <t>Freight/Trucking Costs</t>
  </si>
  <si>
    <t>3) The "Sensitivity Analysis" tab allows the producer to manipulate or change the number of cattle in each summary statistic category (i.e., prime, YG 4, etc.) to determine the effect of the changes on the revenue received for a hypothetical load of cattle on each contract.</t>
  </si>
  <si>
    <t>MSU is an affirmative-action, equal-opportunity employer.  Michigan State University Extension programs and materials are open to all without regard to race, color, national origin, gender, gender identity, religion, age, height, weight, disability, political beliefs, sexual orientation, marital status, family status or veteran status.</t>
  </si>
  <si>
    <r>
      <rPr>
        <b/>
        <sz val="12"/>
        <color theme="1"/>
        <rFont val="Calibri"/>
        <family val="2"/>
        <scheme val="minor"/>
      </rPr>
      <t>Authors:</t>
    </r>
    <r>
      <rPr>
        <sz val="12"/>
        <color theme="1"/>
        <rFont val="Calibri"/>
        <family val="2"/>
        <scheme val="minor"/>
      </rPr>
      <t xml:space="preserve"> Jerad Jaborek*, Melissa McKendree*, Jeannine Schweihofer*, Dan Buskirk*</t>
    </r>
  </si>
  <si>
    <r>
      <t>Collaborators:</t>
    </r>
    <r>
      <rPr>
        <sz val="12"/>
        <color theme="1"/>
        <rFont val="Calibri"/>
        <family val="2"/>
        <scheme val="minor"/>
      </rPr>
      <t xml:space="preserve"> Karen DeLong**, Andrew Griffith**, Arnold Hentschl</t>
    </r>
    <r>
      <rPr>
        <b/>
        <sz val="12"/>
        <color theme="1"/>
        <rFont val="Calibri"/>
        <family val="2"/>
        <scheme val="minor"/>
      </rPr>
      <t>***</t>
    </r>
  </si>
  <si>
    <t>*Michigan State University, **University of Tennessee, ***Harbor Beach Veterinary Services</t>
  </si>
  <si>
    <t>JBS Contract Comparison Tool</t>
  </si>
  <si>
    <t>High Energy Holstein Contract</t>
  </si>
  <si>
    <t>High Energy - Holstein Cross Contract</t>
  </si>
  <si>
    <t>80 % Holstein Contract</t>
  </si>
  <si>
    <t>Percent Choice &amp; Prime (80%)</t>
  </si>
  <si>
    <t>Contracted Dressing Percentage</t>
  </si>
  <si>
    <t>80 % Holstein Contract Summary</t>
  </si>
  <si>
    <t>High Energy Holstein Contract Summary</t>
  </si>
  <si>
    <t>High Energy Holstein X Contract Summary</t>
  </si>
  <si>
    <t>#1</t>
  </si>
  <si>
    <t>#2</t>
  </si>
  <si>
    <t>#3</t>
  </si>
  <si>
    <t>Contract Differences (#1 vs. #2 vs. #3)</t>
  </si>
  <si>
    <t xml:space="preserve">Net Revenue (#1 vs. #2) </t>
  </si>
  <si>
    <t xml:space="preserve">Net Revenue per Head (#1 vs. #2) </t>
  </si>
  <si>
    <t xml:space="preserve">Net Revenue (#1 vs. #3) </t>
  </si>
  <si>
    <t xml:space="preserve">Net Revenue per Head (#1 vs. #3) </t>
  </si>
  <si>
    <t xml:space="preserve">Net Revenue (#2 vs. #3) </t>
  </si>
  <si>
    <t xml:space="preserve">Net Revenue per Head (#2 vs. #3) </t>
  </si>
  <si>
    <t>Holstein Contract Options</t>
  </si>
  <si>
    <t>Beef x Holstein Contract Options</t>
  </si>
  <si>
    <r>
      <t>ABS Beef InFocus</t>
    </r>
    <r>
      <rPr>
        <b/>
        <sz val="13"/>
        <rFont val="Aptos Narrow"/>
        <family val="2"/>
      </rPr>
      <t>™</t>
    </r>
    <r>
      <rPr>
        <b/>
        <sz val="13"/>
        <rFont val="Calibri"/>
        <family val="2"/>
        <scheme val="minor"/>
      </rPr>
      <t xml:space="preserve"> Cross Contract</t>
    </r>
  </si>
  <si>
    <t>Select Sires ProfitSource Cross Contract</t>
  </si>
  <si>
    <t>80 % Native Contract</t>
  </si>
  <si>
    <t>Prime Grid Premium ($/cwt)</t>
  </si>
  <si>
    <t>#4</t>
  </si>
  <si>
    <t>#5</t>
  </si>
  <si>
    <t>#6</t>
  </si>
  <si>
    <t xml:space="preserve">Net Revenue (#3 vs. #4) </t>
  </si>
  <si>
    <t xml:space="preserve">Net Revenue per Head (#3 vs. #4) </t>
  </si>
  <si>
    <t xml:space="preserve">Net Revenue (#3 vs. #5) </t>
  </si>
  <si>
    <t xml:space="preserve">Net Revenue per Head (#3 vs. #5) </t>
  </si>
  <si>
    <t xml:space="preserve">Net Revenue (#3 vs. #6) </t>
  </si>
  <si>
    <t xml:space="preserve">Net Revenue per Head (#3 vs. #6) </t>
  </si>
  <si>
    <t xml:space="preserve">Net Revenue (#4 vs. #5) </t>
  </si>
  <si>
    <t xml:space="preserve">Net Revenue per Head (#4 vs. #5) </t>
  </si>
  <si>
    <t xml:space="preserve">Net Revenue (#4 vs. #6) </t>
  </si>
  <si>
    <t xml:space="preserve">Net Revenue per Head (#4 vs. #6) </t>
  </si>
  <si>
    <t xml:space="preserve">Net Revenue (#5 vs. #6) </t>
  </si>
  <si>
    <t xml:space="preserve">Net Revenue per Head (#5 vs. #6) </t>
  </si>
  <si>
    <t>80 % Native Contract Summary</t>
  </si>
  <si>
    <t>Select Sires X Contract Summary</t>
  </si>
  <si>
    <t>ABS X Contract Summary</t>
  </si>
  <si>
    <t>Contract Differences (#3, #4, #5, #6)</t>
  </si>
  <si>
    <t>CAB</t>
  </si>
  <si>
    <t>Native Beef Contract Options</t>
  </si>
  <si>
    <t>Created: April 2021</t>
  </si>
  <si>
    <t>Updated: December 2024 by Jerad Jaborek</t>
  </si>
  <si>
    <t>7) You have the ability to enter in the premium and discount prices if they have changed for a particular contract.</t>
  </si>
  <si>
    <t>11) For additional help finding the information needed from the receipt for the spreadsheet, see the attached example of a receipt in this instructions tab.</t>
  </si>
  <si>
    <t>This spreadsheet is to be used to help assist with choosing between JBS's contracts and discovering how premiums and discounts can affect the profitability of a load of cattle.</t>
  </si>
  <si>
    <t>3) For Quality Grade, Yield Grade, Dark Cutter, Yellow Fat, and Over 30 Months Old, CAB, select the appropriate dropdown option for each animal.</t>
  </si>
  <si>
    <t xml:space="preserve"> Age/ CAB</t>
  </si>
  <si>
    <t>10) The Net Revenue difference between the different contract options is shown as a total (cells U57, U59, U61 for Holsteins and cells AE57, AE59, AE61, AE63, AE65, AE67 for Beef Dairy Crosses) and on a $ per head basis (cells U58, U60, U62 for Holsteins and cells AE58, AE60, AE62, AE64, AE66, AE68 for Beef Dairy Crosses), shown in blue highlighted cells.</t>
  </si>
  <si>
    <t>Age/ CAB</t>
  </si>
  <si>
    <t xml:space="preserve">2) The "Contract Comparison Tool" tab allows the producer to enter in information for a particular lot of cattle on the left hand side of the spreadsheet (columns A-H) and compare their monetary value when sold on the different JBS contract options (cells U57 through U62 for Holsteins and cells AE57 through AE68 for Beef Dairy Crosses). </t>
  </si>
  <si>
    <t>1) Start by entering in the individual cattle information in the grey cells (columns A-H).</t>
  </si>
  <si>
    <t>2) Animal IDs are optional.  You must enter the Hot Carcass Weight of the cattle (column B).  If an animal has a weight of zero because it was condemned, do not enter a Hot Carcass Weight.</t>
  </si>
  <si>
    <t>4) Next, enter in the Total Live Weight (cell K10) and the Contracted Total Live Weight (cell X7) for the load of cattle.  The Contracted Total Live Weight will be found on your contract agreement made with JBS.</t>
  </si>
  <si>
    <t>6) Enter in the Contracted Live Price (cell X11), the Basis (cell X10), and the Current Live Cash Price (cell X13).  A CME Futures Price (cell X9) will be calculated for you.  The Contracted Live Price should match your receipt.  The CME Futures Price should be the same for a particular type/breed of cattle (i.e., Holstein, Beef Dairy Cross, Native).</t>
  </si>
  <si>
    <t>8) You have the ability to enter in freight/trucking costs if you had any (cell Z52).  It is a cost, so it should be entered as a negative number.</t>
  </si>
  <si>
    <t>9) The predicted Net Revenue received for the load of cattle are highlighted in blue cells (P54, U54, Z54, AE54, AJ54, A054) for the various contract options.</t>
  </si>
  <si>
    <t>3) In columns G, M, S, Y, AE, and AK, the average weight will be propagated from the "Contract Comparison Tool" tab.  If there were no cattle with those particular summary statistics found from the data of the load of cattle you previously entered in the "Contract Comparison Tool" tab, then the average load weight is used or predetermined for you.  You have the option to change the average weight for cells in columns G, M, S, Y, AE, and AK.  Just remember for the Hot Carcass Weight cells (18-25) the average weight you enter should fall within the range of that summary statistic.</t>
  </si>
  <si>
    <t>Instructions for JBS Contract Comparison Tool</t>
  </si>
  <si>
    <r>
      <rPr>
        <sz val="12"/>
        <color theme="1"/>
        <rFont val="Calibri"/>
        <family val="2"/>
        <scheme val="minor"/>
      </rPr>
      <t>5) Enter in the weekly Prime and Choice/Select spread price (cells K3 and K5).  This can be found at www.ams.usda.gov &gt; Market News &gt; Livestock, Poultry, Grain &gt; Cattle &gt; National Direct Slaughter Cattle Reports &gt; Weekly Direct Slaughter Cattle Premiums and Disounts (</t>
    </r>
    <r>
      <rPr>
        <u/>
        <sz val="12"/>
        <color theme="10"/>
        <rFont val="Calibri"/>
        <family val="2"/>
        <scheme val="minor"/>
      </rPr>
      <t>https://www.ams.usda.gov/mnreports/lm_ct155.txt</t>
    </r>
    <r>
      <rPr>
        <sz val="12"/>
        <color theme="1"/>
        <rFont val="Calibri"/>
        <family val="2"/>
        <scheme val="minor"/>
      </rPr>
      <t>)</t>
    </r>
  </si>
  <si>
    <t>Example Reciept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</si>
</sst>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43" formatCode="_(* #,##0.00_);_(* \(#,##0.00\);_(* &quot;-&quot;??_);_(@_)"/>
    <numFmt numFmtId="164" formatCode="&quot;$&quot;#,##0.00"/>
    <numFmt numFmtId="165" formatCode="&quot;$&quot;#,##0.000"/>
    <numFmt numFmtId="166" formatCode="_(* #,##0_);_(* \(#,##0\);_(* &quot;-&quot;??_);_(@_)"/>
  </numFmts>
  <fonts count="17" x14ac:knownFonts="1">
    <font>
      <sz val="11"/>
      <color theme="1"/>
      <name val="Calibri"/>
      <family val="2"/>
      <scheme val="minor"/>
    </font>
    <font>
      <sz val="8"/>
      <name val="Calibri"/>
      <family val="2"/>
      <scheme val="minor"/>
    </font>
    <font>
      <b/>
      <sz val="12"/>
      <name val="Calibri"/>
      <family val="2"/>
      <scheme val="minor"/>
    </font>
    <font>
      <sz val="12"/>
      <color theme="1"/>
      <name val="Calibri"/>
      <family val="2"/>
      <scheme val="minor"/>
    </font>
    <font>
      <b/>
      <sz val="12"/>
      <color theme="1"/>
      <name val="Calibri"/>
      <family val="2"/>
      <scheme val="minor"/>
    </font>
    <font>
      <b/>
      <sz val="14"/>
      <color theme="1"/>
      <name val="Calibri"/>
      <family val="2"/>
      <scheme val="minor"/>
    </font>
    <font>
      <b/>
      <sz val="13"/>
      <name val="Calibri"/>
      <family val="2"/>
      <scheme val="minor"/>
    </font>
    <font>
      <b/>
      <sz val="13"/>
      <color theme="1"/>
      <name val="Calibri"/>
      <family val="2"/>
      <scheme val="minor"/>
    </font>
    <font>
      <b/>
      <sz val="13"/>
      <color theme="1"/>
      <name val="Calibri"/>
      <family val="2"/>
    </font>
    <font>
      <b/>
      <u/>
      <sz val="12"/>
      <color theme="1"/>
      <name val="Calibri"/>
      <family val="2"/>
      <scheme val="minor"/>
    </font>
    <font>
      <u/>
      <sz val="11"/>
      <color theme="10"/>
      <name val="Calibri"/>
      <family val="2"/>
      <scheme val="minor"/>
    </font>
    <font>
      <i/>
      <sz val="12"/>
      <color theme="1"/>
      <name val="Calibri"/>
      <family val="2"/>
      <scheme val="minor"/>
    </font>
    <font>
      <sz val="11"/>
      <color theme="1"/>
      <name val="Calibri"/>
      <family val="2"/>
      <scheme val="minor"/>
    </font>
    <font>
      <u/>
      <sz val="12"/>
      <color theme="10"/>
      <name val="Calibri"/>
      <family val="2"/>
      <scheme val="minor"/>
    </font>
    <font>
      <b/>
      <sz val="13"/>
      <name val="Aptos Narrow"/>
      <family val="2"/>
    </font>
    <font>
      <sz val="9"/>
      <color indexed="81"/>
      <name val="Tahoma"/>
      <family val="2"/>
    </font>
    <font>
      <b/>
      <sz val="9"/>
      <color indexed="81"/>
      <name val="Tahoma"/>
      <family val="2"/>
    </font>
  </fonts>
  <fills count="9">
    <fill>
      <patternFill patternType="none"/>
    </fill>
    <fill>
      <patternFill patternType="gray125"/>
    </fill>
    <fill>
      <patternFill patternType="solid">
        <fgColor theme="2"/>
        <bgColor indexed="64"/>
      </patternFill>
    </fill>
    <fill>
      <patternFill patternType="solid">
        <fgColor theme="9" tint="0.39997558519241921"/>
        <bgColor indexed="64"/>
      </patternFill>
    </fill>
    <fill>
      <patternFill patternType="solid">
        <fgColor theme="4" tint="0.79998168889431442"/>
        <bgColor indexed="64"/>
      </patternFill>
    </fill>
    <fill>
      <patternFill patternType="solid">
        <fgColor theme="9" tint="0.79998168889431442"/>
        <bgColor indexed="64"/>
      </patternFill>
    </fill>
    <fill>
      <patternFill patternType="solid">
        <fgColor theme="1" tint="0.499984740745262"/>
        <bgColor indexed="64"/>
      </patternFill>
    </fill>
    <fill>
      <patternFill patternType="solid">
        <fgColor theme="0"/>
        <bgColor indexed="64"/>
      </patternFill>
    </fill>
    <fill>
      <patternFill patternType="solid">
        <fgColor theme="9" tint="0.59999389629810485"/>
        <bgColor indexed="64"/>
      </patternFill>
    </fill>
  </fills>
  <borders count="15">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
      <left style="thin">
        <color indexed="64"/>
      </left>
      <right style="thin">
        <color indexed="64"/>
      </right>
      <top/>
      <bottom/>
      <diagonal/>
    </border>
    <border>
      <left/>
      <right style="thin">
        <color indexed="64"/>
      </right>
      <top style="thin">
        <color indexed="64"/>
      </top>
      <bottom/>
      <diagonal/>
    </border>
    <border>
      <left/>
      <right style="thin">
        <color indexed="64"/>
      </right>
      <top/>
      <bottom style="thin">
        <color indexed="64"/>
      </bottom>
      <diagonal/>
    </border>
    <border>
      <left/>
      <right/>
      <top style="thin">
        <color indexed="64"/>
      </top>
      <bottom/>
      <diagonal/>
    </border>
    <border>
      <left style="thin">
        <color indexed="64"/>
      </left>
      <right/>
      <top style="thin">
        <color indexed="64"/>
      </top>
      <bottom/>
      <diagonal/>
    </border>
    <border>
      <left style="thin">
        <color indexed="64"/>
      </left>
      <right/>
      <top/>
      <bottom style="thin">
        <color indexed="64"/>
      </bottom>
      <diagonal/>
    </border>
    <border>
      <left/>
      <right/>
      <top style="thin">
        <color indexed="64"/>
      </top>
      <bottom style="thin">
        <color indexed="64"/>
      </bottom>
      <diagonal/>
    </border>
    <border>
      <left style="thin">
        <color indexed="64"/>
      </left>
      <right style="thin">
        <color indexed="64"/>
      </right>
      <top style="thin">
        <color indexed="64"/>
      </top>
      <bottom style="medium">
        <color indexed="64"/>
      </bottom>
      <diagonal/>
    </border>
  </borders>
  <cellStyleXfs count="3">
    <xf numFmtId="0" fontId="0" fillId="0" borderId="0"/>
    <xf numFmtId="0" fontId="10" fillId="0" borderId="0" applyNumberFormat="0" applyFill="0" applyBorder="0" applyAlignment="0" applyProtection="0"/>
    <xf numFmtId="43" fontId="12" fillId="0" borderId="0" applyFont="0" applyFill="0" applyBorder="0" applyAlignment="0" applyProtection="0"/>
  </cellStyleXfs>
  <cellXfs count="136">
    <xf numFmtId="0" fontId="0" fillId="0" borderId="0" xfId="0"/>
    <xf numFmtId="0" fontId="3" fillId="0" borderId="0" xfId="0" applyFont="1"/>
    <xf numFmtId="0" fontId="3" fillId="0" borderId="0" xfId="0" applyFont="1" applyAlignment="1">
      <alignment wrapText="1"/>
    </xf>
    <xf numFmtId="0" fontId="5" fillId="3" borderId="1" xfId="0" applyFont="1" applyFill="1" applyBorder="1" applyAlignment="1">
      <alignment horizontal="center" wrapText="1"/>
    </xf>
    <xf numFmtId="0" fontId="3" fillId="2" borderId="1" xfId="0" applyFont="1" applyFill="1" applyBorder="1" applyAlignment="1" applyProtection="1">
      <alignment horizontal="center"/>
      <protection locked="0"/>
    </xf>
    <xf numFmtId="0" fontId="3" fillId="7" borderId="7" xfId="0" applyFont="1" applyFill="1" applyBorder="1" applyAlignment="1">
      <alignment horizontal="left" wrapText="1"/>
    </xf>
    <xf numFmtId="0" fontId="3" fillId="7" borderId="0" xfId="0" applyFont="1" applyFill="1"/>
    <xf numFmtId="0" fontId="3" fillId="7" borderId="7" xfId="0" applyFont="1" applyFill="1" applyBorder="1"/>
    <xf numFmtId="0" fontId="4" fillId="7" borderId="7" xfId="0" applyFont="1" applyFill="1" applyBorder="1" applyAlignment="1">
      <alignment horizontal="left" wrapText="1"/>
    </xf>
    <xf numFmtId="0" fontId="3" fillId="7" borderId="7" xfId="0" applyFont="1" applyFill="1" applyBorder="1" applyAlignment="1">
      <alignment wrapText="1"/>
    </xf>
    <xf numFmtId="0" fontId="9" fillId="7" borderId="7" xfId="0" applyFont="1" applyFill="1" applyBorder="1" applyAlignment="1">
      <alignment wrapText="1"/>
    </xf>
    <xf numFmtId="0" fontId="11" fillId="7" borderId="3" xfId="0" applyFont="1" applyFill="1" applyBorder="1" applyAlignment="1">
      <alignment wrapText="1"/>
    </xf>
    <xf numFmtId="0" fontId="3" fillId="7" borderId="0" xfId="0" applyFont="1" applyFill="1" applyAlignment="1">
      <alignment wrapText="1"/>
    </xf>
    <xf numFmtId="164" fontId="4" fillId="2" borderId="1" xfId="0" applyNumberFormat="1" applyFont="1" applyFill="1" applyBorder="1" applyProtection="1">
      <protection locked="0"/>
    </xf>
    <xf numFmtId="3" fontId="4" fillId="2" borderId="1" xfId="0" applyNumberFormat="1" applyFont="1" applyFill="1" applyBorder="1" applyProtection="1">
      <protection locked="0"/>
    </xf>
    <xf numFmtId="164" fontId="4" fillId="2" borderId="2" xfId="0" applyNumberFormat="1" applyFont="1" applyFill="1" applyBorder="1" applyProtection="1">
      <protection locked="0"/>
    </xf>
    <xf numFmtId="164" fontId="4" fillId="2" borderId="3" xfId="0" applyNumberFormat="1" applyFont="1" applyFill="1" applyBorder="1" applyProtection="1">
      <protection locked="0"/>
    </xf>
    <xf numFmtId="0" fontId="3" fillId="7" borderId="2" xfId="0" applyFont="1" applyFill="1" applyBorder="1" applyAlignment="1">
      <alignment horizontal="left" wrapText="1"/>
    </xf>
    <xf numFmtId="0" fontId="13" fillId="0" borderId="7" xfId="1" applyFont="1" applyBorder="1" applyAlignment="1">
      <alignment wrapText="1"/>
    </xf>
    <xf numFmtId="0" fontId="11" fillId="7" borderId="7" xfId="0" applyFont="1" applyFill="1" applyBorder="1" applyAlignment="1">
      <alignment horizontal="left" wrapText="1"/>
    </xf>
    <xf numFmtId="0" fontId="4" fillId="2" borderId="1" xfId="0" applyFont="1" applyFill="1" applyBorder="1" applyProtection="1">
      <protection locked="0"/>
    </xf>
    <xf numFmtId="166" fontId="4" fillId="2" borderId="8" xfId="2" applyNumberFormat="1" applyFont="1" applyFill="1" applyBorder="1" applyAlignment="1" applyProtection="1">
      <alignment horizontal="right"/>
      <protection locked="0"/>
    </xf>
    <xf numFmtId="166" fontId="4" fillId="2" borderId="9" xfId="2" applyNumberFormat="1" applyFont="1" applyFill="1" applyBorder="1" applyAlignment="1" applyProtection="1">
      <alignment horizontal="right"/>
      <protection locked="0"/>
    </xf>
    <xf numFmtId="166" fontId="4" fillId="2" borderId="1" xfId="2" applyNumberFormat="1" applyFont="1" applyFill="1" applyBorder="1" applyAlignment="1" applyProtection="1">
      <alignment horizontal="right"/>
      <protection locked="0"/>
    </xf>
    <xf numFmtId="166" fontId="4" fillId="2" borderId="3" xfId="2" applyNumberFormat="1" applyFont="1" applyFill="1" applyBorder="1" applyAlignment="1" applyProtection="1">
      <alignment horizontal="right"/>
      <protection locked="0"/>
    </xf>
    <xf numFmtId="166" fontId="4" fillId="2" borderId="2" xfId="2" applyNumberFormat="1" applyFont="1" applyFill="1" applyBorder="1" applyAlignment="1" applyProtection="1">
      <alignment horizontal="right"/>
      <protection locked="0"/>
    </xf>
    <xf numFmtId="164" fontId="4" fillId="2" borderId="1" xfId="0" applyNumberFormat="1" applyFont="1" applyFill="1" applyBorder="1" applyAlignment="1" applyProtection="1">
      <alignment horizontal="right"/>
      <protection locked="0"/>
    </xf>
    <xf numFmtId="166" fontId="4" fillId="2" borderId="1" xfId="2" applyNumberFormat="1" applyFont="1" applyFill="1" applyBorder="1" applyProtection="1">
      <protection locked="0"/>
    </xf>
    <xf numFmtId="0" fontId="5" fillId="7" borderId="2" xfId="0" applyFont="1" applyFill="1" applyBorder="1"/>
    <xf numFmtId="0" fontId="6" fillId="3" borderId="1" xfId="0" applyFont="1" applyFill="1" applyBorder="1" applyAlignment="1">
      <alignment horizontal="center"/>
    </xf>
    <xf numFmtId="0" fontId="6" fillId="3" borderId="1" xfId="0" applyFont="1" applyFill="1" applyBorder="1" applyAlignment="1">
      <alignment horizontal="right"/>
    </xf>
    <xf numFmtId="164" fontId="4" fillId="2" borderId="1" xfId="0" applyNumberFormat="1" applyFont="1" applyFill="1" applyBorder="1"/>
    <xf numFmtId="0" fontId="3" fillId="7" borderId="0" xfId="0" applyFont="1" applyFill="1" applyAlignment="1">
      <alignment horizontal="right"/>
    </xf>
    <xf numFmtId="164" fontId="3" fillId="7" borderId="0" xfId="0" applyNumberFormat="1" applyFont="1" applyFill="1"/>
    <xf numFmtId="0" fontId="6" fillId="3" borderId="5" xfId="0" applyFont="1" applyFill="1" applyBorder="1" applyAlignment="1">
      <alignment horizontal="center"/>
    </xf>
    <xf numFmtId="0" fontId="6" fillId="7" borderId="0" xfId="0" applyFont="1" applyFill="1"/>
    <xf numFmtId="0" fontId="3" fillId="0" borderId="1" xfId="0" applyFont="1" applyBorder="1" applyAlignment="1">
      <alignment horizontal="right"/>
    </xf>
    <xf numFmtId="2" fontId="3" fillId="0" borderId="1" xfId="0" applyNumberFormat="1" applyFont="1" applyBorder="1"/>
    <xf numFmtId="0" fontId="2" fillId="7" borderId="0" xfId="0" applyFont="1" applyFill="1" applyAlignment="1">
      <alignment horizontal="center"/>
    </xf>
    <xf numFmtId="3" fontId="3" fillId="0" borderId="1" xfId="0" applyNumberFormat="1" applyFont="1" applyBorder="1"/>
    <xf numFmtId="0" fontId="3" fillId="0" borderId="1" xfId="0" applyFont="1" applyBorder="1"/>
    <xf numFmtId="3" fontId="3" fillId="0" borderId="1" xfId="0" applyNumberFormat="1" applyFont="1" applyBorder="1" applyAlignment="1">
      <alignment horizontal="right"/>
    </xf>
    <xf numFmtId="164" fontId="3" fillId="0" borderId="1" xfId="0" applyNumberFormat="1" applyFont="1" applyBorder="1"/>
    <xf numFmtId="1" fontId="3" fillId="7" borderId="0" xfId="0" applyNumberFormat="1" applyFont="1" applyFill="1"/>
    <xf numFmtId="2" fontId="3" fillId="7" borderId="0" xfId="0" applyNumberFormat="1" applyFont="1" applyFill="1"/>
    <xf numFmtId="0" fontId="3" fillId="0" borderId="2" xfId="0" applyFont="1" applyBorder="1" applyAlignment="1">
      <alignment horizontal="right"/>
    </xf>
    <xf numFmtId="3" fontId="3" fillId="0" borderId="2" xfId="0" applyNumberFormat="1" applyFont="1" applyBorder="1"/>
    <xf numFmtId="164" fontId="3" fillId="0" borderId="2" xfId="0" applyNumberFormat="1" applyFont="1" applyBorder="1"/>
    <xf numFmtId="164" fontId="3" fillId="0" borderId="1" xfId="0" applyNumberFormat="1" applyFont="1" applyBorder="1" applyAlignment="1">
      <alignment horizontal="right"/>
    </xf>
    <xf numFmtId="164" fontId="3" fillId="0" borderId="3" xfId="0" applyNumberFormat="1" applyFont="1" applyBorder="1"/>
    <xf numFmtId="0" fontId="3" fillId="6" borderId="4" xfId="0" applyFont="1" applyFill="1" applyBorder="1" applyAlignment="1">
      <alignment horizontal="right"/>
    </xf>
    <xf numFmtId="0" fontId="3" fillId="6" borderId="13" xfId="0" applyFont="1" applyFill="1" applyBorder="1"/>
    <xf numFmtId="164" fontId="3" fillId="6" borderId="13" xfId="0" applyNumberFormat="1" applyFont="1" applyFill="1" applyBorder="1"/>
    <xf numFmtId="0" fontId="3" fillId="6" borderId="5" xfId="0" applyFont="1" applyFill="1" applyBorder="1"/>
    <xf numFmtId="0" fontId="3" fillId="0" borderId="14" xfId="0" applyFont="1" applyBorder="1" applyAlignment="1">
      <alignment horizontal="right"/>
    </xf>
    <xf numFmtId="0" fontId="3" fillId="0" borderId="14" xfId="0" applyFont="1" applyBorder="1"/>
    <xf numFmtId="0" fontId="3" fillId="0" borderId="3" xfId="0" applyFont="1" applyBorder="1" applyAlignment="1">
      <alignment horizontal="right"/>
    </xf>
    <xf numFmtId="0" fontId="3" fillId="0" borderId="3" xfId="0" applyFont="1" applyBorder="1"/>
    <xf numFmtId="0" fontId="3" fillId="0" borderId="2" xfId="0" applyFont="1" applyBorder="1"/>
    <xf numFmtId="0" fontId="3" fillId="6" borderId="12" xfId="0" applyFont="1" applyFill="1" applyBorder="1" applyAlignment="1">
      <alignment horizontal="right"/>
    </xf>
    <xf numFmtId="0" fontId="3" fillId="6" borderId="6" xfId="0" applyFont="1" applyFill="1" applyBorder="1"/>
    <xf numFmtId="164" fontId="3" fillId="6" borderId="6" xfId="0" applyNumberFormat="1" applyFont="1" applyFill="1" applyBorder="1"/>
    <xf numFmtId="0" fontId="3" fillId="6" borderId="9" xfId="0" applyFont="1" applyFill="1" applyBorder="1"/>
    <xf numFmtId="165" fontId="3" fillId="7" borderId="0" xfId="0" applyNumberFormat="1" applyFont="1" applyFill="1"/>
    <xf numFmtId="0" fontId="3" fillId="7" borderId="0" xfId="0" applyFont="1" applyFill="1" applyAlignment="1">
      <alignment horizontal="center"/>
    </xf>
    <xf numFmtId="0" fontId="4" fillId="7" borderId="0" xfId="0" applyFont="1" applyFill="1" applyAlignment="1">
      <alignment horizontal="right"/>
    </xf>
    <xf numFmtId="0" fontId="4" fillId="7" borderId="0" xfId="0" applyFont="1" applyFill="1" applyAlignment="1">
      <alignment horizontal="center"/>
    </xf>
    <xf numFmtId="0" fontId="3" fillId="0" borderId="4" xfId="0" applyFont="1" applyBorder="1" applyAlignment="1">
      <alignment horizontal="right"/>
    </xf>
    <xf numFmtId="164" fontId="3" fillId="4" borderId="1" xfId="0" applyNumberFormat="1" applyFont="1" applyFill="1" applyBorder="1"/>
    <xf numFmtId="164" fontId="3" fillId="4" borderId="3" xfId="0" applyNumberFormat="1" applyFont="1" applyFill="1" applyBorder="1"/>
    <xf numFmtId="166" fontId="3" fillId="0" borderId="1" xfId="2" applyNumberFormat="1" applyFont="1" applyFill="1" applyBorder="1" applyProtection="1"/>
    <xf numFmtId="166" fontId="3" fillId="0" borderId="1" xfId="2" applyNumberFormat="1" applyFont="1" applyFill="1" applyBorder="1" applyAlignment="1" applyProtection="1">
      <alignment horizontal="right"/>
    </xf>
    <xf numFmtId="166" fontId="3" fillId="0" borderId="1" xfId="2" applyNumberFormat="1" applyFont="1" applyBorder="1" applyAlignment="1" applyProtection="1">
      <alignment horizontal="right"/>
    </xf>
    <xf numFmtId="1" fontId="3" fillId="7" borderId="6" xfId="0" applyNumberFormat="1" applyFont="1" applyFill="1" applyBorder="1" applyAlignment="1">
      <alignment horizontal="right"/>
    </xf>
    <xf numFmtId="166" fontId="4" fillId="2" borderId="1" xfId="2" applyNumberFormat="1" applyFont="1" applyFill="1" applyBorder="1" applyAlignment="1" applyProtection="1">
      <alignment horizontal="right"/>
    </xf>
    <xf numFmtId="166" fontId="4" fillId="2" borderId="2" xfId="2" applyNumberFormat="1" applyFont="1" applyFill="1" applyBorder="1" applyAlignment="1" applyProtection="1">
      <alignment horizontal="right"/>
    </xf>
    <xf numFmtId="164" fontId="3" fillId="0" borderId="2" xfId="0" applyNumberFormat="1" applyFont="1" applyBorder="1" applyAlignment="1">
      <alignment horizontal="right"/>
    </xf>
    <xf numFmtId="166" fontId="4" fillId="2" borderId="3" xfId="2" applyNumberFormat="1" applyFont="1" applyFill="1" applyBorder="1" applyAlignment="1" applyProtection="1">
      <alignment horizontal="right"/>
    </xf>
    <xf numFmtId="164" fontId="3" fillId="0" borderId="3" xfId="0" applyNumberFormat="1" applyFont="1" applyBorder="1" applyAlignment="1">
      <alignment horizontal="right"/>
    </xf>
    <xf numFmtId="166" fontId="4" fillId="2" borderId="8" xfId="2" applyNumberFormat="1" applyFont="1" applyFill="1" applyBorder="1" applyAlignment="1" applyProtection="1">
      <alignment horizontal="right"/>
    </xf>
    <xf numFmtId="166" fontId="4" fillId="2" borderId="9" xfId="2" applyNumberFormat="1" applyFont="1" applyFill="1" applyBorder="1" applyAlignment="1" applyProtection="1">
      <alignment horizontal="right"/>
    </xf>
    <xf numFmtId="0" fontId="3" fillId="7" borderId="10" xfId="0" applyFont="1" applyFill="1" applyBorder="1"/>
    <xf numFmtId="0" fontId="6" fillId="3" borderId="2" xfId="0" applyFont="1" applyFill="1" applyBorder="1" applyAlignment="1">
      <alignment horizontal="center"/>
    </xf>
    <xf numFmtId="0" fontId="6" fillId="3" borderId="3" xfId="0" applyFont="1" applyFill="1" applyBorder="1" applyAlignment="1">
      <alignment horizontal="center"/>
    </xf>
    <xf numFmtId="0" fontId="6" fillId="3" borderId="1" xfId="0" applyFont="1" applyFill="1" applyBorder="1" applyAlignment="1">
      <alignment horizontal="center"/>
    </xf>
    <xf numFmtId="0" fontId="6" fillId="3" borderId="1" xfId="0" applyFont="1" applyFill="1" applyBorder="1" applyAlignment="1">
      <alignment horizontal="center" wrapText="1"/>
    </xf>
    <xf numFmtId="0" fontId="6" fillId="3" borderId="4" xfId="0" applyFont="1" applyFill="1" applyBorder="1" applyAlignment="1">
      <alignment horizontal="center"/>
    </xf>
    <xf numFmtId="0" fontId="6" fillId="3" borderId="5" xfId="0" applyFont="1" applyFill="1" applyBorder="1" applyAlignment="1">
      <alignment horizontal="center"/>
    </xf>
    <xf numFmtId="0" fontId="8" fillId="3" borderId="2" xfId="0" applyFont="1" applyFill="1" applyBorder="1" applyAlignment="1">
      <alignment horizontal="center"/>
    </xf>
    <xf numFmtId="0" fontId="8" fillId="3" borderId="3" xfId="0" applyFont="1" applyFill="1" applyBorder="1" applyAlignment="1">
      <alignment horizontal="center"/>
    </xf>
    <xf numFmtId="0" fontId="6" fillId="3" borderId="2" xfId="0" applyFont="1" applyFill="1" applyBorder="1" applyAlignment="1">
      <alignment horizontal="center" wrapText="1"/>
    </xf>
    <xf numFmtId="0" fontId="6" fillId="3" borderId="3" xfId="0" applyFont="1" applyFill="1" applyBorder="1" applyAlignment="1">
      <alignment horizontal="center" wrapText="1"/>
    </xf>
    <xf numFmtId="0" fontId="3" fillId="0" borderId="1" xfId="0" applyFont="1" applyBorder="1" applyAlignment="1">
      <alignment horizontal="left"/>
    </xf>
    <xf numFmtId="0" fontId="3" fillId="0" borderId="3" xfId="0" applyFont="1" applyBorder="1" applyAlignment="1">
      <alignment horizontal="right"/>
    </xf>
    <xf numFmtId="0" fontId="3" fillId="0" borderId="1" xfId="0" applyFont="1" applyBorder="1" applyAlignment="1">
      <alignment horizontal="right"/>
    </xf>
    <xf numFmtId="0" fontId="4" fillId="5" borderId="1" xfId="0" applyFont="1" applyFill="1" applyBorder="1" applyAlignment="1">
      <alignment horizontal="center"/>
    </xf>
    <xf numFmtId="0" fontId="3" fillId="0" borderId="4" xfId="0" applyFont="1" applyBorder="1" applyAlignment="1">
      <alignment horizontal="right"/>
    </xf>
    <xf numFmtId="0" fontId="3" fillId="0" borderId="5" xfId="0" applyFont="1" applyBorder="1" applyAlignment="1">
      <alignment horizontal="right"/>
    </xf>
    <xf numFmtId="0" fontId="7" fillId="3" borderId="1" xfId="0" applyFont="1" applyFill="1" applyBorder="1" applyAlignment="1">
      <alignment horizontal="center"/>
    </xf>
    <xf numFmtId="0" fontId="7" fillId="3" borderId="2" xfId="0" applyFont="1" applyFill="1" applyBorder="1" applyAlignment="1">
      <alignment horizontal="center"/>
    </xf>
    <xf numFmtId="0" fontId="7" fillId="3" borderId="3" xfId="0" applyFont="1" applyFill="1" applyBorder="1" applyAlignment="1">
      <alignment horizontal="center"/>
    </xf>
    <xf numFmtId="1" fontId="3" fillId="0" borderId="2" xfId="0" applyNumberFormat="1" applyFont="1" applyBorder="1" applyAlignment="1">
      <alignment horizontal="right"/>
    </xf>
    <xf numFmtId="1" fontId="3" fillId="0" borderId="3" xfId="0" applyNumberFormat="1" applyFont="1" applyBorder="1" applyAlignment="1">
      <alignment horizontal="right"/>
    </xf>
    <xf numFmtId="164" fontId="3" fillId="0" borderId="1" xfId="0" applyNumberFormat="1" applyFont="1" applyBorder="1" applyAlignment="1">
      <alignment horizontal="right"/>
    </xf>
    <xf numFmtId="164" fontId="4" fillId="2" borderId="1" xfId="0" applyNumberFormat="1" applyFont="1" applyFill="1" applyBorder="1" applyAlignment="1" applyProtection="1">
      <alignment horizontal="right"/>
      <protection locked="0"/>
    </xf>
    <xf numFmtId="0" fontId="5" fillId="3" borderId="4" xfId="0" applyFont="1" applyFill="1" applyBorder="1" applyAlignment="1">
      <alignment horizontal="center"/>
    </xf>
    <xf numFmtId="0" fontId="5" fillId="3" borderId="13" xfId="0" applyFont="1" applyFill="1" applyBorder="1" applyAlignment="1">
      <alignment horizontal="center"/>
    </xf>
    <xf numFmtId="0" fontId="5" fillId="3" borderId="5" xfId="0" applyFont="1" applyFill="1" applyBorder="1" applyAlignment="1">
      <alignment horizontal="center"/>
    </xf>
    <xf numFmtId="0" fontId="5" fillId="3" borderId="10" xfId="0" applyFont="1" applyFill="1" applyBorder="1" applyAlignment="1">
      <alignment horizontal="center"/>
    </xf>
    <xf numFmtId="0" fontId="5" fillId="3" borderId="8" xfId="0" applyFont="1" applyFill="1" applyBorder="1" applyAlignment="1">
      <alignment horizontal="center"/>
    </xf>
    <xf numFmtId="0" fontId="3" fillId="7" borderId="7" xfId="0" applyFont="1" applyFill="1" applyBorder="1" applyAlignment="1">
      <alignment horizontal="right"/>
    </xf>
    <xf numFmtId="0" fontId="3" fillId="6" borderId="4" xfId="0" applyFont="1" applyFill="1" applyBorder="1" applyAlignment="1">
      <alignment horizontal="center"/>
    </xf>
    <xf numFmtId="0" fontId="3" fillId="6" borderId="13" xfId="0" applyFont="1" applyFill="1" applyBorder="1" applyAlignment="1">
      <alignment horizontal="center"/>
    </xf>
    <xf numFmtId="0" fontId="3" fillId="6" borderId="5" xfId="0" applyFont="1" applyFill="1" applyBorder="1" applyAlignment="1">
      <alignment horizontal="center"/>
    </xf>
    <xf numFmtId="0" fontId="7" fillId="3" borderId="7" xfId="0" applyFont="1" applyFill="1" applyBorder="1" applyAlignment="1">
      <alignment horizontal="center"/>
    </xf>
    <xf numFmtId="0" fontId="6" fillId="3" borderId="7" xfId="0" applyFont="1" applyFill="1" applyBorder="1" applyAlignment="1">
      <alignment horizontal="center" wrapText="1"/>
    </xf>
    <xf numFmtId="0" fontId="6" fillId="3" borderId="7" xfId="0" applyFont="1" applyFill="1" applyBorder="1" applyAlignment="1">
      <alignment horizontal="center"/>
    </xf>
    <xf numFmtId="166" fontId="4" fillId="2" borderId="2" xfId="2" applyNumberFormat="1" applyFont="1" applyFill="1" applyBorder="1" applyAlignment="1" applyProtection="1">
      <alignment horizontal="right"/>
    </xf>
    <xf numFmtId="166" fontId="4" fillId="2" borderId="3" xfId="2" applyNumberFormat="1" applyFont="1" applyFill="1" applyBorder="1" applyAlignment="1" applyProtection="1">
      <alignment horizontal="right"/>
    </xf>
    <xf numFmtId="3" fontId="3" fillId="0" borderId="1" xfId="0" applyNumberFormat="1" applyFont="1" applyBorder="1" applyAlignment="1">
      <alignment horizontal="right"/>
    </xf>
    <xf numFmtId="0" fontId="3" fillId="6" borderId="11" xfId="0" applyFont="1" applyFill="1" applyBorder="1" applyAlignment="1">
      <alignment horizontal="center"/>
    </xf>
    <xf numFmtId="0" fontId="3" fillId="6" borderId="10" xfId="0" applyFont="1" applyFill="1" applyBorder="1" applyAlignment="1">
      <alignment horizontal="center"/>
    </xf>
    <xf numFmtId="0" fontId="3" fillId="6" borderId="8" xfId="0" applyFont="1" applyFill="1" applyBorder="1" applyAlignment="1">
      <alignment horizontal="center"/>
    </xf>
    <xf numFmtId="166" fontId="4" fillId="2" borderId="2" xfId="2" applyNumberFormat="1" applyFont="1" applyFill="1" applyBorder="1" applyAlignment="1" applyProtection="1">
      <alignment horizontal="right"/>
      <protection locked="0"/>
    </xf>
    <xf numFmtId="166" fontId="4" fillId="2" borderId="3" xfId="2" applyNumberFormat="1" applyFont="1" applyFill="1" applyBorder="1" applyAlignment="1" applyProtection="1">
      <alignment horizontal="right"/>
      <protection locked="0"/>
    </xf>
    <xf numFmtId="0" fontId="4" fillId="5" borderId="4" xfId="0" applyFont="1" applyFill="1" applyBorder="1" applyAlignment="1">
      <alignment horizontal="center"/>
    </xf>
    <xf numFmtId="0" fontId="4" fillId="5" borderId="5" xfId="0" applyFont="1" applyFill="1" applyBorder="1" applyAlignment="1">
      <alignment horizontal="center"/>
    </xf>
    <xf numFmtId="0" fontId="5" fillId="3" borderId="4" xfId="0" applyFont="1" applyFill="1" applyBorder="1" applyAlignment="1">
      <alignment horizontal="left" indent="30"/>
    </xf>
    <xf numFmtId="0" fontId="5" fillId="3" borderId="13" xfId="0" applyFont="1" applyFill="1" applyBorder="1" applyAlignment="1">
      <alignment horizontal="left" indent="30"/>
    </xf>
    <xf numFmtId="0" fontId="5" fillId="3" borderId="5" xfId="0" applyFont="1" applyFill="1" applyBorder="1" applyAlignment="1">
      <alignment horizontal="left" indent="30"/>
    </xf>
    <xf numFmtId="0" fontId="3" fillId="6" borderId="12" xfId="0" applyFont="1" applyFill="1" applyBorder="1" applyAlignment="1">
      <alignment horizontal="center"/>
    </xf>
    <xf numFmtId="0" fontId="3" fillId="6" borderId="6" xfId="0" applyFont="1" applyFill="1" applyBorder="1" applyAlignment="1">
      <alignment horizontal="center"/>
    </xf>
    <xf numFmtId="0" fontId="3" fillId="6" borderId="9" xfId="0" applyFont="1" applyFill="1" applyBorder="1" applyAlignment="1">
      <alignment horizontal="center"/>
    </xf>
    <xf numFmtId="0" fontId="3" fillId="8" borderId="4" xfId="0" applyFont="1" applyFill="1" applyBorder="1" applyAlignment="1">
      <alignment horizontal="center"/>
    </xf>
    <xf numFmtId="0" fontId="3" fillId="8" borderId="13" xfId="0" applyFont="1" applyFill="1" applyBorder="1" applyAlignment="1">
      <alignment horizontal="center"/>
    </xf>
    <xf numFmtId="0" fontId="3" fillId="8" borderId="5" xfId="0" applyFont="1" applyFill="1" applyBorder="1" applyAlignment="1">
      <alignment horizontal="center"/>
    </xf>
  </cellXfs>
  <cellStyles count="3">
    <cellStyle name="Comma" xfId="2" builtinId="3"/>
    <cellStyle name="Hyperlink" xfId="1" builtinId="8"/>
    <cellStyle name="Normal" xfId="0" builtinId="0"/>
  </cellStyles>
  <dxfs count="0"/>
  <tableStyles count="0" defaultTableStyle="TableStyleMedium2" defaultPivotStyle="PivotStyleLight16"/>
  <colors>
    <mruColors>
      <color rgb="FF188080"/>
      <color rgb="FFCCCCFF"/>
      <color rgb="FFFF99CC"/>
      <color rgb="FF99A2A2"/>
      <color rgb="FFD1DE3F"/>
      <color rgb="FF94AE4A"/>
      <color rgb="FF008183"/>
      <color rgb="FF18453B"/>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2</xdr:col>
      <xdr:colOff>3154</xdr:colOff>
      <xdr:row>1</xdr:row>
      <xdr:rowOff>3169</xdr:rowOff>
    </xdr:from>
    <xdr:to>
      <xdr:col>14</xdr:col>
      <xdr:colOff>6964</xdr:colOff>
      <xdr:row>31</xdr:row>
      <xdr:rowOff>428475</xdr:rowOff>
    </xdr:to>
    <xdr:pic>
      <xdr:nvPicPr>
        <xdr:cNvPr id="4" name="Picture 3">
          <a:extLst>
            <a:ext uri="{FF2B5EF4-FFF2-40B4-BE49-F238E27FC236}">
              <a16:creationId xmlns:a16="http://schemas.microsoft.com/office/drawing/2014/main" id="{3456A179-7F54-FFDB-6DD0-0580637984A7}"/>
            </a:ext>
          </a:extLst>
        </xdr:cNvPr>
        <xdr:cNvPicPr>
          <a:picLocks noChangeAspect="1"/>
        </xdr:cNvPicPr>
      </xdr:nvPicPr>
      <xdr:blipFill>
        <a:blip xmlns:r="http://schemas.openxmlformats.org/officeDocument/2006/relationships" r:embed="rId1"/>
        <a:stretch>
          <a:fillRect/>
        </a:stretch>
      </xdr:blipFill>
      <xdr:spPr>
        <a:xfrm>
          <a:off x="9261454" y="241294"/>
          <a:ext cx="7680960" cy="9896331"/>
        </a:xfrm>
        <a:prstGeom prst="rect">
          <a:avLst/>
        </a:prstGeom>
        <a:ln>
          <a:solidFill>
            <a:sysClr val="windowText" lastClr="000000"/>
          </a:solidFill>
        </a:ln>
      </xdr:spPr>
    </xdr:pic>
    <xdr:clientData/>
  </xdr:twoCellAnchor>
  <xdr:twoCellAnchor editAs="oneCell">
    <xdr:from>
      <xdr:col>2</xdr:col>
      <xdr:colOff>0</xdr:colOff>
      <xdr:row>31</xdr:row>
      <xdr:rowOff>438150</xdr:rowOff>
    </xdr:from>
    <xdr:to>
      <xdr:col>15</xdr:col>
      <xdr:colOff>600532</xdr:colOff>
      <xdr:row>61</xdr:row>
      <xdr:rowOff>101951</xdr:rowOff>
    </xdr:to>
    <xdr:pic>
      <xdr:nvPicPr>
        <xdr:cNvPr id="6" name="Picture 5">
          <a:extLst>
            <a:ext uri="{FF2B5EF4-FFF2-40B4-BE49-F238E27FC236}">
              <a16:creationId xmlns:a16="http://schemas.microsoft.com/office/drawing/2014/main" id="{99A20992-DE7E-6DAB-8ADF-57E428741024}"/>
            </a:ext>
          </a:extLst>
        </xdr:cNvPr>
        <xdr:cNvPicPr>
          <a:picLocks noChangeAspect="1"/>
        </xdr:cNvPicPr>
      </xdr:nvPicPr>
      <xdr:blipFill>
        <a:blip xmlns:r="http://schemas.openxmlformats.org/officeDocument/2006/relationships" r:embed="rId2"/>
        <a:stretch>
          <a:fillRect/>
        </a:stretch>
      </xdr:blipFill>
      <xdr:spPr>
        <a:xfrm>
          <a:off x="9258300" y="10144125"/>
          <a:ext cx="8887282" cy="6836126"/>
        </a:xfrm>
        <a:prstGeom prst="rect">
          <a:avLst/>
        </a:prstGeom>
        <a:ln>
          <a:solidFill>
            <a:sysClr val="windowText" lastClr="000000"/>
          </a:solidFill>
        </a:ln>
      </xdr:spPr>
    </xdr:pic>
    <xdr:clientData/>
  </xdr:twoCellAnchor>
</xdr:wsDr>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https://www.ams.usda.gov/mnreports/lsddcbs.pdf" TargetMode="External"/></Relationships>
</file>

<file path=xl/worksheets/_rels/sheet2.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comments" Target="../comments2.xml"/><Relationship Id="rId1" Type="http://schemas.openxmlformats.org/officeDocument/2006/relationships/vmlDrawing" Target="../drawings/vmlDrawing2.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7ED5E7A-AA35-48C0-9CC6-95EE2429D373}">
  <sheetPr>
    <tabColor theme="9" tint="0.59999389629810485"/>
  </sheetPr>
  <dimension ref="A1:AP203"/>
  <sheetViews>
    <sheetView tabSelected="1" zoomScaleNormal="100" workbookViewId="0">
      <selection activeCell="AQ21" sqref="AQ21"/>
    </sheetView>
  </sheetViews>
  <sheetFormatPr defaultColWidth="8.7265625" defaultRowHeight="15.5" x14ac:dyDescent="0.35"/>
  <cols>
    <col min="1" max="1" width="128.54296875" style="2" customWidth="1"/>
    <col min="2" max="2" width="3.90625" style="1" customWidth="1"/>
    <col min="3" max="11" width="8.7265625" style="1"/>
    <col min="12" max="12" width="8.6328125" style="1" customWidth="1"/>
    <col min="13" max="13" width="8.7265625" style="1"/>
    <col min="14" max="14" width="14.08984375" style="1" customWidth="1"/>
    <col min="15" max="26" width="8.7265625" style="1"/>
    <col min="27" max="42" width="8.7265625" style="6"/>
    <col min="43" max="16384" width="8.7265625" style="1"/>
  </cols>
  <sheetData>
    <row r="1" spans="1:26" ht="18.5" x14ac:dyDescent="0.45">
      <c r="A1" s="3" t="s">
        <v>139</v>
      </c>
      <c r="B1" s="6"/>
      <c r="C1" s="133" t="s">
        <v>141</v>
      </c>
      <c r="D1" s="134"/>
      <c r="E1" s="134"/>
      <c r="F1" s="134"/>
      <c r="G1" s="134"/>
      <c r="H1" s="134"/>
      <c r="I1" s="134"/>
      <c r="J1" s="134"/>
      <c r="K1" s="134"/>
      <c r="L1" s="134"/>
      <c r="M1" s="134"/>
      <c r="N1" s="135"/>
      <c r="O1" s="6"/>
      <c r="P1" s="6"/>
      <c r="Q1" s="6"/>
      <c r="R1" s="6"/>
      <c r="S1" s="6"/>
      <c r="T1" s="6"/>
      <c r="U1" s="6"/>
      <c r="V1" s="6"/>
      <c r="W1" s="6"/>
      <c r="X1" s="6"/>
      <c r="Y1" s="6"/>
      <c r="Z1" s="6"/>
    </row>
    <row r="2" spans="1:26" ht="31" x14ac:dyDescent="0.35">
      <c r="A2" s="17" t="s">
        <v>126</v>
      </c>
      <c r="B2" s="6"/>
      <c r="C2" s="6"/>
      <c r="D2" s="6"/>
      <c r="E2" s="6"/>
      <c r="F2" s="6"/>
      <c r="G2" s="6"/>
      <c r="H2" s="6"/>
      <c r="I2" s="6"/>
      <c r="J2" s="6"/>
      <c r="K2" s="6"/>
      <c r="L2" s="6"/>
      <c r="M2" s="6"/>
      <c r="N2" s="6"/>
      <c r="O2" s="6"/>
      <c r="P2" s="6"/>
      <c r="Q2" s="6"/>
      <c r="R2" s="6"/>
      <c r="S2" s="6"/>
      <c r="T2" s="6"/>
      <c r="U2" s="6"/>
      <c r="V2" s="6"/>
      <c r="W2" s="6"/>
      <c r="X2" s="6"/>
      <c r="Y2" s="6"/>
      <c r="Z2" s="6"/>
    </row>
    <row r="3" spans="1:26" x14ac:dyDescent="0.35">
      <c r="A3" s="7"/>
      <c r="B3" s="6"/>
      <c r="C3" s="6"/>
      <c r="D3" s="6"/>
      <c r="E3" s="6"/>
      <c r="F3" s="6"/>
      <c r="G3" s="6"/>
      <c r="H3" s="6"/>
      <c r="I3" s="6"/>
      <c r="J3" s="6"/>
      <c r="K3" s="6"/>
      <c r="L3" s="6"/>
      <c r="M3" s="6"/>
      <c r="N3" s="6"/>
      <c r="O3" s="6"/>
      <c r="P3" s="6"/>
      <c r="Q3" s="6"/>
      <c r="R3" s="6"/>
      <c r="S3" s="6"/>
      <c r="T3" s="6"/>
      <c r="U3" s="6"/>
      <c r="V3" s="6"/>
      <c r="W3" s="6"/>
      <c r="X3" s="6"/>
      <c r="Y3" s="6"/>
      <c r="Z3" s="6"/>
    </row>
    <row r="4" spans="1:26" x14ac:dyDescent="0.35">
      <c r="A4" s="5" t="s">
        <v>73</v>
      </c>
      <c r="B4" s="6"/>
      <c r="C4" s="6"/>
      <c r="D4" s="6"/>
      <c r="E4" s="6"/>
      <c r="F4" s="6"/>
      <c r="G4" s="6"/>
      <c r="H4" s="6"/>
      <c r="I4" s="6"/>
      <c r="J4" s="6"/>
      <c r="K4" s="6"/>
      <c r="L4" s="6"/>
      <c r="M4" s="6"/>
      <c r="N4" s="6"/>
      <c r="O4" s="6"/>
      <c r="P4" s="6"/>
      <c r="Q4" s="6"/>
      <c r="R4" s="6"/>
      <c r="S4" s="6"/>
      <c r="T4" s="6"/>
      <c r="U4" s="6"/>
      <c r="V4" s="6"/>
      <c r="W4" s="6"/>
      <c r="X4" s="6"/>
      <c r="Y4" s="6"/>
      <c r="Z4" s="6"/>
    </row>
    <row r="5" spans="1:26" x14ac:dyDescent="0.35">
      <c r="A5" s="8" t="s">
        <v>74</v>
      </c>
      <c r="B5" s="6"/>
      <c r="C5" s="6"/>
      <c r="D5" s="6"/>
      <c r="E5" s="6"/>
      <c r="F5" s="6"/>
      <c r="G5" s="6"/>
      <c r="H5" s="6"/>
      <c r="I5" s="6"/>
      <c r="J5" s="6"/>
      <c r="K5" s="6"/>
      <c r="L5" s="6"/>
      <c r="M5" s="6"/>
      <c r="N5" s="6"/>
      <c r="O5" s="6"/>
      <c r="P5" s="6"/>
      <c r="Q5" s="6"/>
      <c r="R5" s="6"/>
      <c r="S5" s="6"/>
      <c r="T5" s="6"/>
      <c r="U5" s="6"/>
      <c r="V5" s="6"/>
      <c r="W5" s="6"/>
      <c r="X5" s="6"/>
      <c r="Y5" s="6"/>
      <c r="Z5" s="6"/>
    </row>
    <row r="6" spans="1:26" x14ac:dyDescent="0.35">
      <c r="A6" s="19" t="s">
        <v>75</v>
      </c>
      <c r="B6" s="6"/>
      <c r="C6" s="6"/>
      <c r="D6" s="6"/>
      <c r="E6" s="6"/>
      <c r="F6" s="6"/>
      <c r="G6" s="6"/>
      <c r="H6" s="6"/>
      <c r="I6" s="6"/>
      <c r="J6" s="6"/>
      <c r="K6" s="6"/>
      <c r="L6" s="6"/>
      <c r="M6" s="6"/>
      <c r="N6" s="6"/>
      <c r="O6" s="6"/>
      <c r="P6" s="6"/>
      <c r="Q6" s="6"/>
      <c r="R6" s="6"/>
      <c r="S6" s="6"/>
      <c r="T6" s="6"/>
      <c r="U6" s="6"/>
      <c r="V6" s="6"/>
      <c r="W6" s="6"/>
      <c r="X6" s="6"/>
      <c r="Y6" s="6"/>
      <c r="Z6" s="6"/>
    </row>
    <row r="7" spans="1:26" x14ac:dyDescent="0.35">
      <c r="A7" s="19"/>
      <c r="B7" s="6"/>
      <c r="C7" s="6"/>
      <c r="D7" s="6"/>
      <c r="E7" s="6"/>
      <c r="F7" s="6"/>
      <c r="G7" s="6"/>
      <c r="H7" s="6"/>
      <c r="I7" s="6"/>
      <c r="J7" s="6"/>
      <c r="K7" s="6"/>
      <c r="L7" s="6"/>
      <c r="M7" s="6"/>
      <c r="N7" s="6"/>
      <c r="O7" s="6"/>
      <c r="P7" s="6"/>
      <c r="Q7" s="6"/>
      <c r="R7" s="6"/>
      <c r="S7" s="6"/>
      <c r="T7" s="6"/>
      <c r="U7" s="6"/>
      <c r="V7" s="6"/>
      <c r="W7" s="6"/>
      <c r="X7" s="6"/>
      <c r="Y7" s="6"/>
      <c r="Z7" s="6"/>
    </row>
    <row r="8" spans="1:26" x14ac:dyDescent="0.35">
      <c r="A8" s="5" t="s">
        <v>122</v>
      </c>
      <c r="B8" s="6"/>
      <c r="C8" s="6"/>
      <c r="D8" s="6"/>
      <c r="E8" s="6"/>
      <c r="F8" s="6"/>
      <c r="G8" s="6"/>
      <c r="H8" s="6"/>
      <c r="I8" s="6"/>
      <c r="J8" s="6"/>
      <c r="K8" s="6"/>
      <c r="L8" s="6"/>
      <c r="M8" s="6"/>
      <c r="N8" s="6"/>
      <c r="O8" s="6"/>
      <c r="P8" s="6"/>
      <c r="Q8" s="6"/>
      <c r="R8" s="6"/>
      <c r="S8" s="6"/>
      <c r="T8" s="6"/>
      <c r="U8" s="6"/>
      <c r="V8" s="6"/>
      <c r="W8" s="6"/>
      <c r="X8" s="6"/>
      <c r="Y8" s="6"/>
      <c r="Z8" s="6"/>
    </row>
    <row r="9" spans="1:26" x14ac:dyDescent="0.35">
      <c r="A9" s="5" t="s">
        <v>123</v>
      </c>
      <c r="B9" s="6"/>
      <c r="C9" s="6"/>
      <c r="D9" s="6"/>
      <c r="E9" s="6"/>
      <c r="F9" s="6"/>
      <c r="G9" s="6"/>
      <c r="H9" s="6"/>
      <c r="I9" s="6"/>
      <c r="J9" s="6"/>
      <c r="K9" s="6"/>
      <c r="L9" s="6"/>
      <c r="M9" s="6"/>
      <c r="N9" s="6"/>
      <c r="O9" s="6"/>
      <c r="P9" s="6"/>
      <c r="Q9" s="6"/>
      <c r="R9" s="6"/>
      <c r="S9" s="6"/>
      <c r="T9" s="6"/>
      <c r="U9" s="6"/>
      <c r="V9" s="6"/>
      <c r="W9" s="6"/>
      <c r="X9" s="6"/>
      <c r="Y9" s="6"/>
      <c r="Z9" s="6"/>
    </row>
    <row r="10" spans="1:26" x14ac:dyDescent="0.35">
      <c r="A10" s="9"/>
      <c r="B10" s="6"/>
      <c r="C10" s="6"/>
      <c r="D10" s="6"/>
      <c r="E10" s="6"/>
      <c r="F10" s="6"/>
      <c r="G10" s="6"/>
      <c r="H10" s="6"/>
      <c r="I10" s="6"/>
      <c r="J10" s="6"/>
      <c r="K10" s="6"/>
      <c r="L10" s="6"/>
      <c r="M10" s="6"/>
      <c r="N10" s="6"/>
      <c r="O10" s="6"/>
      <c r="P10" s="6"/>
      <c r="Q10" s="6"/>
      <c r="R10" s="6"/>
      <c r="S10" s="6"/>
      <c r="T10" s="6"/>
      <c r="U10" s="6"/>
      <c r="V10" s="6"/>
      <c r="W10" s="6"/>
      <c r="X10" s="6"/>
      <c r="Y10" s="6"/>
      <c r="Z10" s="6"/>
    </row>
    <row r="11" spans="1:26" x14ac:dyDescent="0.35">
      <c r="A11" s="10" t="s">
        <v>52</v>
      </c>
      <c r="B11" s="6"/>
      <c r="C11" s="6"/>
      <c r="D11" s="6"/>
      <c r="E11" s="6"/>
      <c r="F11" s="6"/>
      <c r="G11" s="6"/>
      <c r="H11" s="6"/>
      <c r="I11" s="6"/>
      <c r="J11" s="6"/>
      <c r="K11" s="6"/>
      <c r="L11" s="6"/>
      <c r="M11" s="6"/>
      <c r="N11" s="6"/>
      <c r="O11" s="6"/>
      <c r="P11" s="6"/>
      <c r="Q11" s="6"/>
      <c r="R11" s="6"/>
      <c r="S11" s="6"/>
      <c r="T11" s="6"/>
      <c r="U11" s="6"/>
      <c r="V11" s="6"/>
      <c r="W11" s="6"/>
      <c r="X11" s="6"/>
      <c r="Y11" s="6"/>
      <c r="Z11" s="6"/>
    </row>
    <row r="12" spans="1:26" ht="31" x14ac:dyDescent="0.35">
      <c r="A12" s="9" t="s">
        <v>51</v>
      </c>
      <c r="B12" s="6"/>
      <c r="C12" s="6"/>
      <c r="D12" s="6"/>
      <c r="E12" s="6"/>
      <c r="F12" s="6"/>
      <c r="G12" s="6"/>
      <c r="H12" s="6"/>
      <c r="I12" s="6"/>
      <c r="J12" s="6"/>
      <c r="K12" s="6"/>
      <c r="L12" s="6"/>
      <c r="M12" s="6"/>
      <c r="N12" s="6"/>
      <c r="O12" s="6"/>
      <c r="P12" s="6"/>
      <c r="Q12" s="6"/>
      <c r="R12" s="6"/>
      <c r="S12" s="6"/>
      <c r="T12" s="6"/>
      <c r="U12" s="6"/>
      <c r="V12" s="6"/>
      <c r="W12" s="6"/>
      <c r="X12" s="6"/>
      <c r="Y12" s="6"/>
      <c r="Z12" s="6"/>
    </row>
    <row r="13" spans="1:26" ht="46.5" x14ac:dyDescent="0.35">
      <c r="A13" s="9" t="s">
        <v>131</v>
      </c>
      <c r="B13" s="6"/>
      <c r="C13" s="6"/>
      <c r="D13" s="6"/>
      <c r="E13" s="6"/>
      <c r="F13" s="6"/>
      <c r="G13" s="6"/>
      <c r="H13" s="6"/>
      <c r="I13" s="6"/>
      <c r="J13" s="6"/>
      <c r="K13" s="6"/>
      <c r="L13" s="6"/>
      <c r="M13" s="6"/>
      <c r="N13" s="6"/>
      <c r="O13" s="6"/>
      <c r="P13" s="6"/>
      <c r="Q13" s="6"/>
      <c r="R13" s="6"/>
      <c r="S13" s="6"/>
      <c r="T13" s="6"/>
      <c r="U13" s="6"/>
      <c r="V13" s="6"/>
      <c r="W13" s="6"/>
      <c r="X13" s="6"/>
      <c r="Y13" s="6"/>
      <c r="Z13" s="6"/>
    </row>
    <row r="14" spans="1:26" ht="31" x14ac:dyDescent="0.35">
      <c r="A14" s="9" t="s">
        <v>71</v>
      </c>
      <c r="B14" s="6"/>
      <c r="C14" s="6"/>
      <c r="D14" s="6"/>
      <c r="E14" s="6"/>
      <c r="F14" s="6"/>
      <c r="G14" s="6"/>
      <c r="H14" s="6"/>
      <c r="I14" s="6"/>
      <c r="J14" s="6"/>
      <c r="K14" s="6"/>
      <c r="L14" s="6"/>
      <c r="M14" s="6"/>
      <c r="N14" s="6"/>
      <c r="O14" s="6"/>
      <c r="P14" s="6"/>
      <c r="Q14" s="6"/>
      <c r="R14" s="6"/>
      <c r="S14" s="6"/>
      <c r="T14" s="6"/>
      <c r="U14" s="6"/>
      <c r="V14" s="6"/>
      <c r="W14" s="6"/>
      <c r="X14" s="6"/>
      <c r="Y14" s="6"/>
      <c r="Z14" s="6"/>
    </row>
    <row r="15" spans="1:26" x14ac:dyDescent="0.35">
      <c r="A15" s="9"/>
      <c r="B15" s="6"/>
      <c r="C15" s="6"/>
      <c r="D15" s="6"/>
      <c r="E15" s="6"/>
      <c r="F15" s="6"/>
      <c r="G15" s="6"/>
      <c r="H15" s="6"/>
      <c r="I15" s="6"/>
      <c r="J15" s="6"/>
      <c r="K15" s="6"/>
      <c r="L15" s="6"/>
      <c r="M15" s="6"/>
      <c r="N15" s="6"/>
      <c r="O15" s="6"/>
      <c r="P15" s="6"/>
      <c r="Q15" s="6"/>
      <c r="R15" s="6"/>
      <c r="S15" s="6"/>
      <c r="T15" s="6"/>
      <c r="U15" s="6"/>
      <c r="V15" s="6"/>
      <c r="W15" s="6"/>
      <c r="X15" s="6"/>
      <c r="Y15" s="6"/>
      <c r="Z15" s="6"/>
    </row>
    <row r="16" spans="1:26" x14ac:dyDescent="0.35">
      <c r="A16" s="10" t="s">
        <v>66</v>
      </c>
      <c r="B16" s="6"/>
      <c r="C16" s="6"/>
      <c r="D16" s="6"/>
      <c r="E16" s="6"/>
      <c r="F16" s="6"/>
      <c r="G16" s="6"/>
      <c r="H16" s="6"/>
      <c r="I16" s="6"/>
      <c r="J16" s="6"/>
      <c r="K16" s="6"/>
      <c r="L16" s="6"/>
      <c r="M16" s="6"/>
      <c r="N16" s="6"/>
      <c r="O16" s="6"/>
      <c r="P16" s="6"/>
      <c r="Q16" s="6"/>
      <c r="R16" s="6"/>
      <c r="S16" s="6"/>
      <c r="T16" s="6"/>
      <c r="U16" s="6"/>
      <c r="V16" s="6"/>
      <c r="W16" s="6"/>
      <c r="X16" s="6"/>
      <c r="Y16" s="6"/>
      <c r="Z16" s="6"/>
    </row>
    <row r="17" spans="1:26" x14ac:dyDescent="0.35">
      <c r="A17" s="9" t="s">
        <v>132</v>
      </c>
      <c r="B17" s="6"/>
      <c r="C17" s="6"/>
      <c r="D17" s="6"/>
      <c r="E17" s="6"/>
      <c r="F17" s="6"/>
      <c r="G17" s="6"/>
      <c r="H17" s="6"/>
      <c r="I17" s="6"/>
      <c r="J17" s="6"/>
      <c r="K17" s="6"/>
      <c r="L17" s="6"/>
      <c r="M17" s="6"/>
      <c r="N17" s="6"/>
      <c r="O17" s="6"/>
      <c r="P17" s="6"/>
      <c r="Q17" s="6"/>
      <c r="R17" s="6"/>
      <c r="S17" s="6"/>
      <c r="T17" s="6"/>
      <c r="U17" s="6"/>
      <c r="V17" s="6"/>
      <c r="W17" s="6"/>
      <c r="X17" s="6"/>
      <c r="Y17" s="6"/>
      <c r="Z17" s="6"/>
    </row>
    <row r="18" spans="1:26" ht="31" x14ac:dyDescent="0.35">
      <c r="A18" s="9" t="s">
        <v>133</v>
      </c>
      <c r="B18" s="6"/>
      <c r="C18" s="6"/>
      <c r="D18" s="6"/>
      <c r="E18" s="6"/>
      <c r="F18" s="6"/>
      <c r="G18" s="6"/>
      <c r="H18" s="6"/>
      <c r="I18" s="6"/>
      <c r="J18" s="6"/>
      <c r="K18" s="6"/>
      <c r="L18" s="6"/>
      <c r="M18" s="6"/>
      <c r="N18" s="6"/>
      <c r="O18" s="6"/>
      <c r="P18" s="6"/>
      <c r="Q18" s="6"/>
      <c r="R18" s="6"/>
      <c r="S18" s="6"/>
      <c r="T18" s="6"/>
      <c r="U18" s="6"/>
      <c r="V18" s="6"/>
      <c r="W18" s="6"/>
      <c r="X18" s="6"/>
      <c r="Y18" s="6"/>
      <c r="Z18" s="6"/>
    </row>
    <row r="19" spans="1:26" ht="31" x14ac:dyDescent="0.35">
      <c r="A19" s="9" t="s">
        <v>127</v>
      </c>
      <c r="B19" s="6"/>
      <c r="C19" s="6"/>
      <c r="D19" s="6"/>
      <c r="E19" s="6"/>
      <c r="F19" s="6"/>
      <c r="G19" s="6"/>
      <c r="H19" s="6"/>
      <c r="I19" s="6"/>
      <c r="J19" s="6"/>
      <c r="K19" s="6"/>
      <c r="L19" s="6"/>
      <c r="M19" s="6"/>
      <c r="N19" s="6"/>
      <c r="O19" s="6"/>
      <c r="P19" s="6"/>
      <c r="Q19" s="6"/>
      <c r="R19" s="6"/>
      <c r="S19" s="6"/>
      <c r="T19" s="6"/>
      <c r="U19" s="6"/>
      <c r="V19" s="6"/>
      <c r="W19" s="6"/>
      <c r="X19" s="6"/>
      <c r="Y19" s="6"/>
      <c r="Z19" s="6"/>
    </row>
    <row r="20" spans="1:26" ht="31" x14ac:dyDescent="0.35">
      <c r="A20" s="9" t="s">
        <v>134</v>
      </c>
      <c r="B20" s="6"/>
      <c r="C20" s="6"/>
      <c r="D20" s="6"/>
      <c r="E20" s="6"/>
      <c r="F20" s="6"/>
      <c r="G20" s="6"/>
      <c r="H20" s="6"/>
      <c r="I20" s="6"/>
      <c r="J20" s="6"/>
      <c r="K20" s="6"/>
      <c r="L20" s="6"/>
      <c r="M20" s="6"/>
      <c r="N20" s="6"/>
      <c r="O20" s="6"/>
      <c r="P20" s="6"/>
      <c r="Q20" s="6"/>
      <c r="R20" s="6"/>
      <c r="S20" s="6"/>
      <c r="T20" s="6"/>
      <c r="U20" s="6"/>
      <c r="V20" s="6"/>
      <c r="W20" s="6"/>
      <c r="X20" s="6"/>
      <c r="Y20" s="6"/>
      <c r="Z20" s="6"/>
    </row>
    <row r="21" spans="1:26" ht="46.5" x14ac:dyDescent="0.35">
      <c r="A21" s="18" t="s">
        <v>140</v>
      </c>
      <c r="B21" s="6"/>
      <c r="C21" s="6"/>
      <c r="D21" s="6"/>
      <c r="E21" s="6"/>
      <c r="F21" s="6"/>
      <c r="G21" s="6"/>
      <c r="H21" s="6"/>
      <c r="I21" s="6"/>
      <c r="J21" s="6"/>
      <c r="K21" s="6"/>
      <c r="L21" s="6"/>
      <c r="M21" s="6"/>
      <c r="N21" s="6"/>
      <c r="O21" s="6"/>
      <c r="P21" s="6"/>
      <c r="Q21" s="6"/>
      <c r="R21" s="6"/>
      <c r="S21" s="6"/>
      <c r="T21" s="6"/>
      <c r="U21" s="6"/>
      <c r="V21" s="6"/>
      <c r="W21" s="6"/>
      <c r="X21" s="6"/>
      <c r="Y21" s="6"/>
      <c r="Z21" s="6"/>
    </row>
    <row r="22" spans="1:26" ht="46.5" x14ac:dyDescent="0.35">
      <c r="A22" s="9" t="s">
        <v>135</v>
      </c>
      <c r="B22" s="6"/>
      <c r="C22" s="6"/>
      <c r="D22" s="6"/>
      <c r="E22" s="6"/>
      <c r="F22" s="6"/>
      <c r="G22" s="6"/>
      <c r="H22" s="6"/>
      <c r="I22" s="6"/>
      <c r="J22" s="6"/>
      <c r="K22" s="6"/>
      <c r="L22" s="6"/>
      <c r="M22" s="6"/>
      <c r="N22" s="6"/>
      <c r="O22" s="6"/>
      <c r="P22" s="6"/>
      <c r="Q22" s="6"/>
      <c r="R22" s="6"/>
      <c r="S22" s="6"/>
      <c r="T22" s="6"/>
      <c r="U22" s="6"/>
      <c r="V22" s="6"/>
      <c r="W22" s="6"/>
      <c r="X22" s="6"/>
      <c r="Y22" s="6"/>
      <c r="Z22" s="6"/>
    </row>
    <row r="23" spans="1:26" x14ac:dyDescent="0.35">
      <c r="A23" s="9" t="s">
        <v>124</v>
      </c>
      <c r="B23" s="6"/>
      <c r="C23" s="6"/>
      <c r="D23" s="6"/>
      <c r="E23" s="6"/>
      <c r="F23" s="6"/>
      <c r="G23" s="6"/>
      <c r="H23" s="6"/>
      <c r="I23" s="6"/>
      <c r="J23" s="6"/>
      <c r="K23" s="6"/>
      <c r="L23" s="6"/>
      <c r="M23" s="6"/>
      <c r="N23" s="6"/>
      <c r="O23" s="6"/>
      <c r="P23" s="6"/>
      <c r="Q23" s="6"/>
      <c r="R23" s="6"/>
      <c r="S23" s="6"/>
      <c r="T23" s="6"/>
      <c r="U23" s="6"/>
      <c r="V23" s="6"/>
      <c r="W23" s="6"/>
      <c r="X23" s="6"/>
      <c r="Y23" s="6"/>
      <c r="Z23" s="6"/>
    </row>
    <row r="24" spans="1:26" x14ac:dyDescent="0.35">
      <c r="A24" s="7" t="s">
        <v>136</v>
      </c>
      <c r="B24" s="6"/>
      <c r="C24" s="6"/>
      <c r="D24" s="6"/>
      <c r="E24" s="6"/>
      <c r="F24" s="6"/>
      <c r="G24" s="6"/>
      <c r="H24" s="6"/>
      <c r="I24" s="6"/>
      <c r="J24" s="6"/>
      <c r="K24" s="6"/>
      <c r="L24" s="6"/>
      <c r="M24" s="6"/>
      <c r="N24" s="6"/>
      <c r="O24" s="6"/>
      <c r="P24" s="6"/>
      <c r="Q24" s="6"/>
      <c r="R24" s="6"/>
      <c r="S24" s="6"/>
      <c r="T24" s="6"/>
      <c r="U24" s="6"/>
      <c r="V24" s="6"/>
      <c r="W24" s="6"/>
      <c r="X24" s="6"/>
      <c r="Y24" s="6"/>
      <c r="Z24" s="6"/>
    </row>
    <row r="25" spans="1:26" ht="31" x14ac:dyDescent="0.35">
      <c r="A25" s="9" t="s">
        <v>137</v>
      </c>
      <c r="B25" s="6"/>
      <c r="C25" s="6"/>
      <c r="D25" s="6"/>
      <c r="E25" s="6"/>
      <c r="F25" s="6"/>
      <c r="G25" s="6"/>
      <c r="H25" s="6"/>
      <c r="I25" s="6"/>
      <c r="J25" s="6"/>
      <c r="K25" s="6"/>
      <c r="L25" s="6"/>
      <c r="M25" s="6"/>
      <c r="N25" s="6"/>
      <c r="O25" s="6"/>
      <c r="P25" s="6"/>
      <c r="Q25" s="6"/>
      <c r="R25" s="6"/>
      <c r="S25" s="6"/>
      <c r="T25" s="6"/>
      <c r="U25" s="6"/>
      <c r="V25" s="6"/>
      <c r="W25" s="6"/>
      <c r="X25" s="6"/>
      <c r="Y25" s="6"/>
      <c r="Z25" s="6"/>
    </row>
    <row r="26" spans="1:26" ht="46.5" x14ac:dyDescent="0.35">
      <c r="A26" s="9" t="s">
        <v>129</v>
      </c>
      <c r="B26" s="6"/>
      <c r="C26" s="6"/>
      <c r="D26" s="6"/>
      <c r="E26" s="6"/>
      <c r="F26" s="6"/>
      <c r="G26" s="6"/>
      <c r="H26" s="6"/>
      <c r="I26" s="6"/>
      <c r="J26" s="6"/>
      <c r="K26" s="6"/>
      <c r="L26" s="6"/>
      <c r="M26" s="6"/>
      <c r="N26" s="6"/>
      <c r="O26" s="6"/>
      <c r="P26" s="6"/>
      <c r="Q26" s="6"/>
      <c r="R26" s="6"/>
      <c r="S26" s="6"/>
      <c r="T26" s="6"/>
      <c r="U26" s="6"/>
      <c r="V26" s="6"/>
      <c r="W26" s="6"/>
      <c r="X26" s="6"/>
      <c r="Y26" s="6"/>
      <c r="Z26" s="6"/>
    </row>
    <row r="27" spans="1:26" ht="31" x14ac:dyDescent="0.35">
      <c r="A27" s="9" t="s">
        <v>125</v>
      </c>
      <c r="B27" s="6"/>
      <c r="C27" s="6"/>
      <c r="D27" s="6"/>
      <c r="E27" s="6"/>
      <c r="F27" s="6"/>
      <c r="G27" s="6"/>
      <c r="H27" s="6"/>
      <c r="I27" s="6"/>
      <c r="J27" s="6"/>
      <c r="K27" s="6"/>
      <c r="L27" s="6"/>
      <c r="M27" s="6"/>
      <c r="N27" s="6"/>
      <c r="O27" s="6"/>
      <c r="P27" s="6"/>
      <c r="Q27" s="6"/>
      <c r="R27" s="6"/>
      <c r="S27" s="6"/>
      <c r="T27" s="6"/>
      <c r="U27" s="6"/>
      <c r="V27" s="6"/>
      <c r="W27" s="6"/>
      <c r="X27" s="6"/>
      <c r="Y27" s="6"/>
      <c r="Z27" s="6"/>
    </row>
    <row r="28" spans="1:26" x14ac:dyDescent="0.35">
      <c r="A28" s="9"/>
      <c r="B28" s="6"/>
      <c r="C28" s="6"/>
      <c r="D28" s="6"/>
      <c r="E28" s="6"/>
      <c r="F28" s="6"/>
      <c r="G28" s="6"/>
      <c r="H28" s="6"/>
      <c r="I28" s="6"/>
      <c r="J28" s="6"/>
      <c r="K28" s="6"/>
      <c r="L28" s="6"/>
      <c r="M28" s="6"/>
      <c r="N28" s="6"/>
      <c r="O28" s="6"/>
      <c r="P28" s="6"/>
      <c r="Q28" s="6"/>
      <c r="R28" s="6"/>
      <c r="S28" s="6"/>
      <c r="T28" s="6"/>
      <c r="U28" s="6"/>
      <c r="V28" s="6"/>
      <c r="W28" s="6"/>
      <c r="X28" s="6"/>
      <c r="Y28" s="6"/>
      <c r="Z28" s="6"/>
    </row>
    <row r="29" spans="1:26" x14ac:dyDescent="0.35">
      <c r="A29" s="10" t="s">
        <v>53</v>
      </c>
      <c r="B29" s="6"/>
      <c r="C29" s="6"/>
      <c r="D29" s="6"/>
      <c r="E29" s="6"/>
      <c r="F29" s="6"/>
      <c r="G29" s="6"/>
      <c r="H29" s="6"/>
      <c r="I29" s="6"/>
      <c r="J29" s="6"/>
      <c r="K29" s="6"/>
      <c r="L29" s="6"/>
      <c r="M29" s="6"/>
      <c r="N29" s="6"/>
      <c r="O29" s="6"/>
      <c r="P29" s="6"/>
      <c r="Q29" s="6"/>
      <c r="R29" s="6"/>
      <c r="S29" s="6"/>
      <c r="T29" s="6"/>
      <c r="U29" s="6"/>
      <c r="V29" s="6"/>
      <c r="W29" s="6"/>
      <c r="X29" s="6"/>
      <c r="Y29" s="6"/>
      <c r="Z29" s="6"/>
    </row>
    <row r="30" spans="1:26" ht="31" x14ac:dyDescent="0.35">
      <c r="A30" s="9" t="s">
        <v>67</v>
      </c>
      <c r="B30" s="6"/>
      <c r="C30" s="6"/>
      <c r="D30" s="6"/>
      <c r="E30" s="6"/>
      <c r="F30" s="6"/>
      <c r="G30" s="6"/>
      <c r="H30" s="6"/>
      <c r="I30" s="6"/>
      <c r="J30" s="6"/>
      <c r="K30" s="6"/>
      <c r="L30" s="6"/>
      <c r="M30" s="6"/>
      <c r="N30" s="6"/>
      <c r="O30" s="6"/>
      <c r="P30" s="6"/>
      <c r="Q30" s="6"/>
      <c r="R30" s="6"/>
      <c r="S30" s="6"/>
      <c r="T30" s="6"/>
      <c r="U30" s="6"/>
      <c r="V30" s="6"/>
      <c r="W30" s="6"/>
      <c r="X30" s="6"/>
      <c r="Y30" s="6"/>
      <c r="Z30" s="6"/>
    </row>
    <row r="31" spans="1:26" ht="31" x14ac:dyDescent="0.35">
      <c r="A31" s="9" t="s">
        <v>65</v>
      </c>
      <c r="B31" s="6"/>
      <c r="C31" s="6"/>
      <c r="D31" s="6"/>
      <c r="E31" s="6"/>
      <c r="F31" s="6"/>
      <c r="G31" s="6"/>
      <c r="H31" s="6"/>
      <c r="I31" s="6"/>
      <c r="J31" s="6"/>
      <c r="K31" s="6"/>
      <c r="L31" s="6"/>
      <c r="M31" s="6"/>
      <c r="N31" s="6"/>
      <c r="O31" s="6"/>
      <c r="P31" s="6"/>
      <c r="Q31" s="6"/>
      <c r="R31" s="6"/>
      <c r="S31" s="6"/>
      <c r="T31" s="6"/>
      <c r="U31" s="6"/>
      <c r="V31" s="6"/>
      <c r="W31" s="6"/>
      <c r="X31" s="6"/>
      <c r="Y31" s="6"/>
      <c r="Z31" s="6"/>
    </row>
    <row r="32" spans="1:26" ht="77.5" x14ac:dyDescent="0.35">
      <c r="A32" s="9" t="s">
        <v>138</v>
      </c>
      <c r="B32" s="6"/>
      <c r="C32" s="6"/>
      <c r="D32" s="6"/>
      <c r="E32" s="6"/>
      <c r="F32" s="6"/>
      <c r="G32" s="6"/>
      <c r="H32" s="6"/>
      <c r="I32" s="6"/>
      <c r="J32" s="6"/>
      <c r="K32" s="6"/>
      <c r="L32" s="6"/>
      <c r="M32" s="6"/>
      <c r="N32" s="6"/>
      <c r="O32" s="6"/>
      <c r="P32" s="6"/>
      <c r="Q32" s="6"/>
      <c r="R32" s="6"/>
      <c r="S32" s="6"/>
      <c r="T32" s="6"/>
      <c r="U32" s="6"/>
      <c r="V32" s="6"/>
      <c r="W32" s="6"/>
      <c r="X32" s="6"/>
      <c r="Y32" s="6"/>
      <c r="Z32" s="6"/>
    </row>
    <row r="33" spans="1:26" x14ac:dyDescent="0.35">
      <c r="A33" s="9"/>
      <c r="B33" s="6"/>
      <c r="C33" s="6"/>
      <c r="D33" s="6"/>
      <c r="E33" s="6"/>
      <c r="F33" s="6"/>
      <c r="G33" s="6"/>
      <c r="H33" s="6"/>
      <c r="I33" s="6"/>
      <c r="J33" s="6"/>
      <c r="K33" s="6"/>
      <c r="L33" s="6"/>
      <c r="M33" s="6"/>
      <c r="N33" s="6"/>
      <c r="O33" s="6"/>
      <c r="P33" s="6"/>
      <c r="Q33" s="6"/>
      <c r="R33" s="6"/>
      <c r="S33" s="6"/>
      <c r="T33" s="6"/>
      <c r="U33" s="6"/>
      <c r="V33" s="6"/>
      <c r="W33" s="6"/>
      <c r="X33" s="6"/>
      <c r="Y33" s="6"/>
      <c r="Z33" s="6"/>
    </row>
    <row r="34" spans="1:26" ht="46.5" x14ac:dyDescent="0.35">
      <c r="A34" s="11" t="s">
        <v>72</v>
      </c>
      <c r="B34" s="12"/>
      <c r="C34" s="12"/>
      <c r="D34" s="12"/>
      <c r="E34" s="12"/>
      <c r="F34" s="12"/>
      <c r="G34" s="12"/>
      <c r="H34" s="12"/>
      <c r="I34" s="12"/>
      <c r="J34" s="12"/>
      <c r="K34" s="12"/>
      <c r="L34" s="12"/>
      <c r="M34" s="12"/>
      <c r="N34" s="12"/>
      <c r="O34" s="12"/>
      <c r="P34" s="6"/>
      <c r="Q34" s="6"/>
      <c r="R34" s="6"/>
      <c r="S34" s="6"/>
      <c r="T34" s="6"/>
      <c r="U34" s="6"/>
      <c r="V34" s="6"/>
      <c r="W34" s="6"/>
      <c r="X34" s="6"/>
      <c r="Y34" s="6"/>
      <c r="Z34" s="6"/>
    </row>
    <row r="35" spans="1:26" s="6" customFormat="1" x14ac:dyDescent="0.35">
      <c r="A35" s="12"/>
      <c r="B35" s="12"/>
      <c r="C35" s="12"/>
      <c r="D35" s="12"/>
      <c r="E35" s="12"/>
      <c r="F35" s="12"/>
      <c r="G35" s="12"/>
      <c r="H35" s="12"/>
      <c r="I35" s="12"/>
      <c r="J35" s="12"/>
      <c r="K35" s="12"/>
      <c r="L35" s="12"/>
      <c r="M35" s="12"/>
      <c r="N35" s="12"/>
      <c r="O35" s="12"/>
    </row>
    <row r="36" spans="1:26" s="6" customFormat="1" x14ac:dyDescent="0.35">
      <c r="A36" s="12"/>
      <c r="B36" s="12"/>
      <c r="C36" s="12"/>
      <c r="D36" s="12"/>
      <c r="E36" s="12"/>
      <c r="F36" s="12"/>
      <c r="G36" s="12"/>
      <c r="H36" s="12"/>
      <c r="I36" s="12"/>
      <c r="J36" s="12"/>
      <c r="K36" s="12"/>
      <c r="L36" s="12"/>
      <c r="M36" s="12"/>
      <c r="N36" s="12"/>
      <c r="O36" s="12"/>
    </row>
    <row r="37" spans="1:26" s="6" customFormat="1" x14ac:dyDescent="0.35">
      <c r="A37" s="12"/>
    </row>
    <row r="38" spans="1:26" s="6" customFormat="1" x14ac:dyDescent="0.35">
      <c r="A38" s="12"/>
    </row>
    <row r="39" spans="1:26" s="6" customFormat="1" x14ac:dyDescent="0.35">
      <c r="A39" s="12"/>
    </row>
    <row r="40" spans="1:26" s="6" customFormat="1" x14ac:dyDescent="0.35">
      <c r="A40" s="12"/>
    </row>
    <row r="41" spans="1:26" s="6" customFormat="1" x14ac:dyDescent="0.35">
      <c r="A41" s="12"/>
    </row>
    <row r="42" spans="1:26" s="6" customFormat="1" x14ac:dyDescent="0.35">
      <c r="A42" s="12"/>
    </row>
    <row r="43" spans="1:26" s="6" customFormat="1" x14ac:dyDescent="0.35">
      <c r="A43" s="12"/>
    </row>
    <row r="44" spans="1:26" s="6" customFormat="1" x14ac:dyDescent="0.35">
      <c r="A44" s="12"/>
    </row>
    <row r="45" spans="1:26" s="6" customFormat="1" x14ac:dyDescent="0.35">
      <c r="A45" s="12"/>
    </row>
    <row r="46" spans="1:26" s="6" customFormat="1" x14ac:dyDescent="0.35">
      <c r="A46" s="12"/>
    </row>
    <row r="47" spans="1:26" s="6" customFormat="1" x14ac:dyDescent="0.35">
      <c r="A47" s="12"/>
    </row>
    <row r="48" spans="1:26" s="6" customFormat="1" x14ac:dyDescent="0.35">
      <c r="A48" s="12"/>
    </row>
    <row r="49" spans="1:1" s="6" customFormat="1" x14ac:dyDescent="0.35">
      <c r="A49" s="12"/>
    </row>
    <row r="50" spans="1:1" s="6" customFormat="1" x14ac:dyDescent="0.35">
      <c r="A50" s="12"/>
    </row>
    <row r="51" spans="1:1" s="6" customFormat="1" x14ac:dyDescent="0.35">
      <c r="A51" s="12"/>
    </row>
    <row r="52" spans="1:1" s="6" customFormat="1" x14ac:dyDescent="0.35">
      <c r="A52" s="12"/>
    </row>
    <row r="53" spans="1:1" s="6" customFormat="1" x14ac:dyDescent="0.35">
      <c r="A53" s="12"/>
    </row>
    <row r="54" spans="1:1" s="6" customFormat="1" x14ac:dyDescent="0.35">
      <c r="A54" s="12"/>
    </row>
    <row r="55" spans="1:1" s="6" customFormat="1" x14ac:dyDescent="0.35">
      <c r="A55" s="12"/>
    </row>
    <row r="56" spans="1:1" s="6" customFormat="1" x14ac:dyDescent="0.35">
      <c r="A56" s="12"/>
    </row>
    <row r="57" spans="1:1" s="6" customFormat="1" x14ac:dyDescent="0.35">
      <c r="A57" s="12"/>
    </row>
    <row r="58" spans="1:1" s="6" customFormat="1" x14ac:dyDescent="0.35">
      <c r="A58" s="12"/>
    </row>
    <row r="59" spans="1:1" s="6" customFormat="1" x14ac:dyDescent="0.35">
      <c r="A59" s="12"/>
    </row>
    <row r="60" spans="1:1" s="6" customFormat="1" x14ac:dyDescent="0.35">
      <c r="A60" s="12"/>
    </row>
    <row r="61" spans="1:1" s="6" customFormat="1" x14ac:dyDescent="0.35">
      <c r="A61" s="12"/>
    </row>
    <row r="62" spans="1:1" s="6" customFormat="1" x14ac:dyDescent="0.35">
      <c r="A62" s="12"/>
    </row>
    <row r="63" spans="1:1" s="6" customFormat="1" x14ac:dyDescent="0.35">
      <c r="A63" s="12"/>
    </row>
    <row r="64" spans="1:1" s="6" customFormat="1" x14ac:dyDescent="0.35">
      <c r="A64" s="12"/>
    </row>
    <row r="65" spans="1:1" s="6" customFormat="1" x14ac:dyDescent="0.35">
      <c r="A65" s="12"/>
    </row>
    <row r="66" spans="1:1" s="6" customFormat="1" x14ac:dyDescent="0.35">
      <c r="A66" s="12"/>
    </row>
    <row r="67" spans="1:1" s="6" customFormat="1" x14ac:dyDescent="0.35">
      <c r="A67" s="12"/>
    </row>
    <row r="68" spans="1:1" s="6" customFormat="1" x14ac:dyDescent="0.35">
      <c r="A68" s="12"/>
    </row>
    <row r="69" spans="1:1" s="6" customFormat="1" x14ac:dyDescent="0.35">
      <c r="A69" s="12"/>
    </row>
    <row r="70" spans="1:1" s="6" customFormat="1" x14ac:dyDescent="0.35">
      <c r="A70" s="12"/>
    </row>
    <row r="71" spans="1:1" s="6" customFormat="1" x14ac:dyDescent="0.35">
      <c r="A71" s="12"/>
    </row>
    <row r="72" spans="1:1" s="6" customFormat="1" x14ac:dyDescent="0.35">
      <c r="A72" s="12"/>
    </row>
    <row r="73" spans="1:1" s="6" customFormat="1" x14ac:dyDescent="0.35">
      <c r="A73" s="12"/>
    </row>
    <row r="74" spans="1:1" s="6" customFormat="1" x14ac:dyDescent="0.35">
      <c r="A74" s="12"/>
    </row>
    <row r="75" spans="1:1" s="6" customFormat="1" x14ac:dyDescent="0.35">
      <c r="A75" s="12"/>
    </row>
    <row r="76" spans="1:1" s="6" customFormat="1" x14ac:dyDescent="0.35">
      <c r="A76" s="12"/>
    </row>
    <row r="77" spans="1:1" s="6" customFormat="1" x14ac:dyDescent="0.35">
      <c r="A77" s="12"/>
    </row>
    <row r="78" spans="1:1" s="6" customFormat="1" x14ac:dyDescent="0.35">
      <c r="A78" s="12"/>
    </row>
    <row r="79" spans="1:1" s="6" customFormat="1" x14ac:dyDescent="0.35">
      <c r="A79" s="12"/>
    </row>
    <row r="80" spans="1:1" s="6" customFormat="1" x14ac:dyDescent="0.35">
      <c r="A80" s="12"/>
    </row>
    <row r="81" spans="1:1" s="6" customFormat="1" x14ac:dyDescent="0.35">
      <c r="A81" s="12"/>
    </row>
    <row r="82" spans="1:1" s="6" customFormat="1" x14ac:dyDescent="0.35">
      <c r="A82" s="12"/>
    </row>
    <row r="83" spans="1:1" s="6" customFormat="1" x14ac:dyDescent="0.35">
      <c r="A83" s="12"/>
    </row>
    <row r="84" spans="1:1" s="6" customFormat="1" x14ac:dyDescent="0.35">
      <c r="A84" s="12"/>
    </row>
    <row r="85" spans="1:1" s="6" customFormat="1" x14ac:dyDescent="0.35">
      <c r="A85" s="12"/>
    </row>
    <row r="86" spans="1:1" s="6" customFormat="1" x14ac:dyDescent="0.35">
      <c r="A86" s="12"/>
    </row>
    <row r="87" spans="1:1" s="6" customFormat="1" x14ac:dyDescent="0.35">
      <c r="A87" s="12"/>
    </row>
    <row r="88" spans="1:1" s="6" customFormat="1" x14ac:dyDescent="0.35">
      <c r="A88" s="12"/>
    </row>
    <row r="89" spans="1:1" s="6" customFormat="1" x14ac:dyDescent="0.35">
      <c r="A89" s="12"/>
    </row>
    <row r="90" spans="1:1" s="6" customFormat="1" x14ac:dyDescent="0.35">
      <c r="A90" s="12"/>
    </row>
    <row r="91" spans="1:1" s="6" customFormat="1" x14ac:dyDescent="0.35">
      <c r="A91" s="12"/>
    </row>
    <row r="92" spans="1:1" s="6" customFormat="1" x14ac:dyDescent="0.35">
      <c r="A92" s="12"/>
    </row>
    <row r="93" spans="1:1" s="6" customFormat="1" x14ac:dyDescent="0.35">
      <c r="A93" s="12"/>
    </row>
    <row r="94" spans="1:1" s="6" customFormat="1" x14ac:dyDescent="0.35">
      <c r="A94" s="12"/>
    </row>
    <row r="95" spans="1:1" s="6" customFormat="1" x14ac:dyDescent="0.35">
      <c r="A95" s="12"/>
    </row>
    <row r="96" spans="1:1" s="6" customFormat="1" x14ac:dyDescent="0.35">
      <c r="A96" s="12"/>
    </row>
    <row r="97" spans="1:1" s="6" customFormat="1" x14ac:dyDescent="0.35">
      <c r="A97" s="12"/>
    </row>
    <row r="98" spans="1:1" s="6" customFormat="1" x14ac:dyDescent="0.35">
      <c r="A98" s="12"/>
    </row>
    <row r="99" spans="1:1" s="6" customFormat="1" x14ac:dyDescent="0.35">
      <c r="A99" s="12"/>
    </row>
    <row r="100" spans="1:1" s="6" customFormat="1" x14ac:dyDescent="0.35">
      <c r="A100" s="12"/>
    </row>
    <row r="101" spans="1:1" s="6" customFormat="1" x14ac:dyDescent="0.35">
      <c r="A101" s="12"/>
    </row>
    <row r="102" spans="1:1" s="6" customFormat="1" x14ac:dyDescent="0.35">
      <c r="A102" s="12"/>
    </row>
    <row r="103" spans="1:1" s="6" customFormat="1" x14ac:dyDescent="0.35">
      <c r="A103" s="12"/>
    </row>
    <row r="104" spans="1:1" s="6" customFormat="1" x14ac:dyDescent="0.35">
      <c r="A104" s="12"/>
    </row>
    <row r="105" spans="1:1" s="6" customFormat="1" x14ac:dyDescent="0.35">
      <c r="A105" s="12"/>
    </row>
    <row r="106" spans="1:1" s="6" customFormat="1" x14ac:dyDescent="0.35">
      <c r="A106" s="12"/>
    </row>
    <row r="107" spans="1:1" s="6" customFormat="1" x14ac:dyDescent="0.35">
      <c r="A107" s="12"/>
    </row>
    <row r="108" spans="1:1" s="6" customFormat="1" x14ac:dyDescent="0.35">
      <c r="A108" s="12"/>
    </row>
    <row r="109" spans="1:1" s="6" customFormat="1" x14ac:dyDescent="0.35">
      <c r="A109" s="12"/>
    </row>
    <row r="110" spans="1:1" s="6" customFormat="1" x14ac:dyDescent="0.35">
      <c r="A110" s="12"/>
    </row>
    <row r="111" spans="1:1" s="6" customFormat="1" x14ac:dyDescent="0.35">
      <c r="A111" s="12"/>
    </row>
    <row r="112" spans="1:1" s="6" customFormat="1" x14ac:dyDescent="0.35">
      <c r="A112" s="12"/>
    </row>
    <row r="113" spans="1:1" s="6" customFormat="1" x14ac:dyDescent="0.35">
      <c r="A113" s="12"/>
    </row>
    <row r="114" spans="1:1" s="6" customFormat="1" x14ac:dyDescent="0.35">
      <c r="A114" s="12"/>
    </row>
    <row r="115" spans="1:1" s="6" customFormat="1" x14ac:dyDescent="0.35">
      <c r="A115" s="12"/>
    </row>
    <row r="116" spans="1:1" s="6" customFormat="1" x14ac:dyDescent="0.35">
      <c r="A116" s="12"/>
    </row>
    <row r="117" spans="1:1" s="6" customFormat="1" x14ac:dyDescent="0.35">
      <c r="A117" s="12"/>
    </row>
    <row r="118" spans="1:1" s="6" customFormat="1" x14ac:dyDescent="0.35">
      <c r="A118" s="12"/>
    </row>
    <row r="119" spans="1:1" s="6" customFormat="1" x14ac:dyDescent="0.35">
      <c r="A119" s="12"/>
    </row>
    <row r="120" spans="1:1" s="6" customFormat="1" x14ac:dyDescent="0.35">
      <c r="A120" s="12"/>
    </row>
    <row r="121" spans="1:1" s="6" customFormat="1" x14ac:dyDescent="0.35">
      <c r="A121" s="12"/>
    </row>
    <row r="122" spans="1:1" s="6" customFormat="1" x14ac:dyDescent="0.35">
      <c r="A122" s="12"/>
    </row>
    <row r="123" spans="1:1" s="6" customFormat="1" x14ac:dyDescent="0.35">
      <c r="A123" s="12"/>
    </row>
    <row r="124" spans="1:1" s="6" customFormat="1" x14ac:dyDescent="0.35">
      <c r="A124" s="12"/>
    </row>
    <row r="125" spans="1:1" s="6" customFormat="1" x14ac:dyDescent="0.35">
      <c r="A125" s="12"/>
    </row>
    <row r="126" spans="1:1" s="6" customFormat="1" x14ac:dyDescent="0.35">
      <c r="A126" s="12"/>
    </row>
    <row r="127" spans="1:1" s="6" customFormat="1" x14ac:dyDescent="0.35">
      <c r="A127" s="12"/>
    </row>
    <row r="128" spans="1:1" s="6" customFormat="1" x14ac:dyDescent="0.35">
      <c r="A128" s="12"/>
    </row>
    <row r="129" spans="1:1" s="6" customFormat="1" x14ac:dyDescent="0.35">
      <c r="A129" s="12"/>
    </row>
    <row r="130" spans="1:1" s="6" customFormat="1" x14ac:dyDescent="0.35">
      <c r="A130" s="12"/>
    </row>
    <row r="131" spans="1:1" s="6" customFormat="1" x14ac:dyDescent="0.35">
      <c r="A131" s="12"/>
    </row>
    <row r="132" spans="1:1" s="6" customFormat="1" x14ac:dyDescent="0.35">
      <c r="A132" s="12"/>
    </row>
    <row r="133" spans="1:1" s="6" customFormat="1" x14ac:dyDescent="0.35">
      <c r="A133" s="12"/>
    </row>
    <row r="134" spans="1:1" s="6" customFormat="1" x14ac:dyDescent="0.35">
      <c r="A134" s="12"/>
    </row>
    <row r="135" spans="1:1" s="6" customFormat="1" x14ac:dyDescent="0.35">
      <c r="A135" s="12"/>
    </row>
    <row r="136" spans="1:1" s="6" customFormat="1" x14ac:dyDescent="0.35">
      <c r="A136" s="12"/>
    </row>
    <row r="137" spans="1:1" s="6" customFormat="1" x14ac:dyDescent="0.35">
      <c r="A137" s="12"/>
    </row>
    <row r="138" spans="1:1" s="6" customFormat="1" x14ac:dyDescent="0.35">
      <c r="A138" s="12"/>
    </row>
    <row r="139" spans="1:1" s="6" customFormat="1" x14ac:dyDescent="0.35">
      <c r="A139" s="12"/>
    </row>
    <row r="140" spans="1:1" s="6" customFormat="1" x14ac:dyDescent="0.35">
      <c r="A140" s="12"/>
    </row>
    <row r="141" spans="1:1" s="6" customFormat="1" x14ac:dyDescent="0.35">
      <c r="A141" s="12"/>
    </row>
    <row r="142" spans="1:1" s="6" customFormat="1" x14ac:dyDescent="0.35">
      <c r="A142" s="12"/>
    </row>
    <row r="143" spans="1:1" s="6" customFormat="1" x14ac:dyDescent="0.35">
      <c r="A143" s="12"/>
    </row>
    <row r="144" spans="1:1" s="6" customFormat="1" x14ac:dyDescent="0.35">
      <c r="A144" s="12"/>
    </row>
    <row r="145" spans="1:1" s="6" customFormat="1" x14ac:dyDescent="0.35">
      <c r="A145" s="12"/>
    </row>
    <row r="146" spans="1:1" s="6" customFormat="1" x14ac:dyDescent="0.35">
      <c r="A146" s="12"/>
    </row>
    <row r="147" spans="1:1" s="6" customFormat="1" x14ac:dyDescent="0.35">
      <c r="A147" s="12"/>
    </row>
    <row r="148" spans="1:1" s="6" customFormat="1" x14ac:dyDescent="0.35">
      <c r="A148" s="12"/>
    </row>
    <row r="149" spans="1:1" s="6" customFormat="1" x14ac:dyDescent="0.35">
      <c r="A149" s="12"/>
    </row>
    <row r="150" spans="1:1" s="6" customFormat="1" x14ac:dyDescent="0.35">
      <c r="A150" s="12"/>
    </row>
    <row r="151" spans="1:1" s="6" customFormat="1" x14ac:dyDescent="0.35">
      <c r="A151" s="12"/>
    </row>
    <row r="152" spans="1:1" s="6" customFormat="1" x14ac:dyDescent="0.35">
      <c r="A152" s="12"/>
    </row>
    <row r="153" spans="1:1" s="6" customFormat="1" x14ac:dyDescent="0.35">
      <c r="A153" s="12"/>
    </row>
    <row r="154" spans="1:1" s="6" customFormat="1" x14ac:dyDescent="0.35">
      <c r="A154" s="12"/>
    </row>
    <row r="155" spans="1:1" s="6" customFormat="1" x14ac:dyDescent="0.35">
      <c r="A155" s="12"/>
    </row>
    <row r="156" spans="1:1" s="6" customFormat="1" x14ac:dyDescent="0.35">
      <c r="A156" s="12"/>
    </row>
    <row r="157" spans="1:1" s="6" customFormat="1" x14ac:dyDescent="0.35">
      <c r="A157" s="12"/>
    </row>
    <row r="158" spans="1:1" s="6" customFormat="1" x14ac:dyDescent="0.35">
      <c r="A158" s="12"/>
    </row>
    <row r="159" spans="1:1" s="6" customFormat="1" x14ac:dyDescent="0.35">
      <c r="A159" s="12"/>
    </row>
    <row r="160" spans="1:1" s="6" customFormat="1" x14ac:dyDescent="0.35">
      <c r="A160" s="12"/>
    </row>
    <row r="161" spans="1:1" s="6" customFormat="1" x14ac:dyDescent="0.35">
      <c r="A161" s="12"/>
    </row>
    <row r="162" spans="1:1" s="6" customFormat="1" x14ac:dyDescent="0.35">
      <c r="A162" s="12"/>
    </row>
    <row r="163" spans="1:1" s="6" customFormat="1" x14ac:dyDescent="0.35">
      <c r="A163" s="12"/>
    </row>
    <row r="164" spans="1:1" s="6" customFormat="1" x14ac:dyDescent="0.35">
      <c r="A164" s="12"/>
    </row>
    <row r="165" spans="1:1" s="6" customFormat="1" x14ac:dyDescent="0.35">
      <c r="A165" s="12"/>
    </row>
    <row r="166" spans="1:1" s="6" customFormat="1" x14ac:dyDescent="0.35">
      <c r="A166" s="12"/>
    </row>
    <row r="167" spans="1:1" s="6" customFormat="1" x14ac:dyDescent="0.35">
      <c r="A167" s="12"/>
    </row>
    <row r="168" spans="1:1" s="6" customFormat="1" x14ac:dyDescent="0.35">
      <c r="A168" s="12"/>
    </row>
    <row r="169" spans="1:1" s="6" customFormat="1" x14ac:dyDescent="0.35">
      <c r="A169" s="12"/>
    </row>
    <row r="170" spans="1:1" s="6" customFormat="1" x14ac:dyDescent="0.35">
      <c r="A170" s="12"/>
    </row>
    <row r="171" spans="1:1" s="6" customFormat="1" x14ac:dyDescent="0.35">
      <c r="A171" s="12"/>
    </row>
    <row r="172" spans="1:1" s="6" customFormat="1" x14ac:dyDescent="0.35">
      <c r="A172" s="12"/>
    </row>
    <row r="173" spans="1:1" s="6" customFormat="1" x14ac:dyDescent="0.35">
      <c r="A173" s="12"/>
    </row>
    <row r="174" spans="1:1" s="6" customFormat="1" x14ac:dyDescent="0.35">
      <c r="A174" s="12"/>
    </row>
    <row r="175" spans="1:1" s="6" customFormat="1" x14ac:dyDescent="0.35">
      <c r="A175" s="12"/>
    </row>
    <row r="176" spans="1:1" s="6" customFormat="1" x14ac:dyDescent="0.35">
      <c r="A176" s="12"/>
    </row>
    <row r="177" spans="1:1" s="6" customFormat="1" x14ac:dyDescent="0.35">
      <c r="A177" s="12"/>
    </row>
    <row r="178" spans="1:1" s="6" customFormat="1" x14ac:dyDescent="0.35">
      <c r="A178" s="12"/>
    </row>
    <row r="179" spans="1:1" s="6" customFormat="1" x14ac:dyDescent="0.35">
      <c r="A179" s="12"/>
    </row>
    <row r="180" spans="1:1" s="6" customFormat="1" x14ac:dyDescent="0.35">
      <c r="A180" s="12"/>
    </row>
    <row r="181" spans="1:1" s="6" customFormat="1" x14ac:dyDescent="0.35">
      <c r="A181" s="12"/>
    </row>
    <row r="182" spans="1:1" s="6" customFormat="1" x14ac:dyDescent="0.35">
      <c r="A182" s="12"/>
    </row>
    <row r="183" spans="1:1" s="6" customFormat="1" x14ac:dyDescent="0.35">
      <c r="A183" s="12"/>
    </row>
    <row r="184" spans="1:1" s="6" customFormat="1" x14ac:dyDescent="0.35">
      <c r="A184" s="12"/>
    </row>
    <row r="185" spans="1:1" s="6" customFormat="1" x14ac:dyDescent="0.35">
      <c r="A185" s="12"/>
    </row>
    <row r="186" spans="1:1" s="6" customFormat="1" x14ac:dyDescent="0.35">
      <c r="A186" s="12"/>
    </row>
    <row r="187" spans="1:1" s="6" customFormat="1" x14ac:dyDescent="0.35">
      <c r="A187" s="12"/>
    </row>
    <row r="188" spans="1:1" s="6" customFormat="1" x14ac:dyDescent="0.35">
      <c r="A188" s="12"/>
    </row>
    <row r="189" spans="1:1" s="6" customFormat="1" x14ac:dyDescent="0.35">
      <c r="A189" s="12"/>
    </row>
    <row r="190" spans="1:1" s="6" customFormat="1" x14ac:dyDescent="0.35">
      <c r="A190" s="12"/>
    </row>
    <row r="191" spans="1:1" s="6" customFormat="1" x14ac:dyDescent="0.35">
      <c r="A191" s="12"/>
    </row>
    <row r="192" spans="1:1" s="6" customFormat="1" x14ac:dyDescent="0.35">
      <c r="A192" s="12"/>
    </row>
    <row r="193" spans="1:1" s="6" customFormat="1" x14ac:dyDescent="0.35">
      <c r="A193" s="12"/>
    </row>
    <row r="194" spans="1:1" s="6" customFormat="1" x14ac:dyDescent="0.35">
      <c r="A194" s="12"/>
    </row>
    <row r="195" spans="1:1" s="6" customFormat="1" x14ac:dyDescent="0.35">
      <c r="A195" s="12"/>
    </row>
    <row r="196" spans="1:1" s="6" customFormat="1" x14ac:dyDescent="0.35">
      <c r="A196" s="12"/>
    </row>
    <row r="197" spans="1:1" s="6" customFormat="1" x14ac:dyDescent="0.35">
      <c r="A197" s="12"/>
    </row>
    <row r="198" spans="1:1" s="6" customFormat="1" x14ac:dyDescent="0.35">
      <c r="A198" s="12"/>
    </row>
    <row r="199" spans="1:1" s="6" customFormat="1" x14ac:dyDescent="0.35">
      <c r="A199" s="12"/>
    </row>
    <row r="200" spans="1:1" s="6" customFormat="1" x14ac:dyDescent="0.35">
      <c r="A200" s="12"/>
    </row>
    <row r="201" spans="1:1" s="6" customFormat="1" x14ac:dyDescent="0.35">
      <c r="A201" s="12"/>
    </row>
    <row r="202" spans="1:1" s="6" customFormat="1" x14ac:dyDescent="0.35">
      <c r="A202" s="12"/>
    </row>
    <row r="203" spans="1:1" s="6" customFormat="1" x14ac:dyDescent="0.35">
      <c r="A203" s="12"/>
    </row>
  </sheetData>
  <sheetProtection algorithmName="SHA-512" hashValue="9OrgFDoYFUWyM3otLoBPQYxtCVXx20zj9g3Tw4BZZG/GeShusl6a9ztkmqeNW7JTJNwFDm1sbXM5HYpFOBPVPw==" saltValue="F4CYU0/3n+9mzEexChnqNg==" spinCount="100000" sheet="1" objects="1" scenarios="1"/>
  <mergeCells count="1">
    <mergeCell ref="C1:N1"/>
  </mergeCells>
  <hyperlinks>
    <hyperlink ref="A21" r:id="rId1" display="5) Enter in the weekly Choice/Select spread price (cell K4).  This can be found at www.ams.usda.gov &gt; Market News &gt; Livestock, Poultry, Grain &gt; Cattle &gt; Slaughter Cattle Summary, (https://www.ams.usda.gov/mnreports/lsddcbs.pdf)" xr:uid="{AC1F2202-6C7E-42FA-9956-D9E5F830F57A}"/>
  </hyperlinks>
  <pageMargins left="0.7" right="0.7" top="0.75" bottom="0.75" header="0.3" footer="0.3"/>
  <pageSetup orientation="portrait" r:id="rId2"/>
  <drawing r:id="rId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B92E0BF-A3A4-408E-9C3B-1FC31F1CD14F}">
  <sheetPr codeName="Sheet1">
    <tabColor theme="9" tint="-0.249977111117893"/>
  </sheetPr>
  <dimension ref="A1:CA466"/>
  <sheetViews>
    <sheetView zoomScaleNormal="100" workbookViewId="0">
      <selection activeCell="J147" sqref="J147"/>
    </sheetView>
  </sheetViews>
  <sheetFormatPr defaultColWidth="8.7265625" defaultRowHeight="15.5" x14ac:dyDescent="0.35"/>
  <cols>
    <col min="1" max="2" width="12.6328125" style="1" customWidth="1"/>
    <col min="3" max="3" width="15.08984375" style="1" customWidth="1"/>
    <col min="4" max="4" width="14.1796875" style="1" customWidth="1"/>
    <col min="5" max="5" width="13.7265625" style="1" customWidth="1"/>
    <col min="6" max="6" width="12.6328125" style="1" customWidth="1"/>
    <col min="7" max="8" width="13.7265625" style="1" customWidth="1"/>
    <col min="9" max="9" width="6.6328125" style="1" customWidth="1"/>
    <col min="10" max="10" width="32.36328125" style="1" customWidth="1"/>
    <col min="11" max="11" width="10.453125" style="1" customWidth="1"/>
    <col min="12" max="12" width="6.6328125" style="1" customWidth="1"/>
    <col min="13" max="13" width="29.6328125" style="1" customWidth="1"/>
    <col min="14" max="14" width="20.6328125" style="1" customWidth="1"/>
    <col min="15" max="15" width="19.81640625" style="1" customWidth="1"/>
    <col min="16" max="16" width="11.54296875" style="1" customWidth="1"/>
    <col min="17" max="17" width="6.6328125" style="1" customWidth="1"/>
    <col min="18" max="18" width="29.6328125" style="1" customWidth="1"/>
    <col min="19" max="19" width="20.6328125" style="1" customWidth="1"/>
    <col min="20" max="20" width="20.08984375" style="1" customWidth="1"/>
    <col min="21" max="21" width="11.6328125" style="1" customWidth="1"/>
    <col min="22" max="22" width="6.6328125" style="6" customWidth="1"/>
    <col min="23" max="23" width="29.6328125" style="6" customWidth="1"/>
    <col min="24" max="24" width="20.6328125" style="6" customWidth="1"/>
    <col min="25" max="25" width="20.08984375" style="6" customWidth="1"/>
    <col min="26" max="26" width="11.54296875" style="6" customWidth="1"/>
    <col min="27" max="27" width="6.6328125" style="6" customWidth="1"/>
    <col min="28" max="28" width="29.7265625" style="6" customWidth="1"/>
    <col min="29" max="29" width="20.6328125" style="6" customWidth="1"/>
    <col min="30" max="30" width="20.1796875" style="6" customWidth="1"/>
    <col min="31" max="31" width="11.6328125" style="6" customWidth="1"/>
    <col min="32" max="32" width="6.6328125" style="6" customWidth="1"/>
    <col min="33" max="33" width="29.7265625" style="6" customWidth="1"/>
    <col min="34" max="34" width="20.6328125" style="6" customWidth="1"/>
    <col min="35" max="35" width="20.1796875" style="6" customWidth="1"/>
    <col min="36" max="36" width="11.6328125" style="6" customWidth="1"/>
    <col min="37" max="37" width="6.6328125" style="6" customWidth="1"/>
    <col min="38" max="38" width="29.7265625" style="6" customWidth="1"/>
    <col min="39" max="39" width="20.6328125" style="6" customWidth="1"/>
    <col min="40" max="40" width="20.1796875" style="6" customWidth="1"/>
    <col min="41" max="41" width="11.6328125" style="6" customWidth="1"/>
    <col min="42" max="78" width="8.7265625" style="6"/>
    <col min="79" max="16384" width="8.7265625" style="1"/>
  </cols>
  <sheetData>
    <row r="1" spans="1:79" ht="18.5" x14ac:dyDescent="0.45">
      <c r="A1" s="105" t="s">
        <v>76</v>
      </c>
      <c r="B1" s="106"/>
      <c r="C1" s="106"/>
      <c r="D1" s="106"/>
      <c r="E1" s="106"/>
      <c r="F1" s="106"/>
      <c r="G1" s="106"/>
      <c r="H1" s="106"/>
      <c r="I1" s="106"/>
      <c r="J1" s="106"/>
      <c r="K1" s="107"/>
      <c r="L1" s="28"/>
      <c r="M1" s="105" t="s">
        <v>95</v>
      </c>
      <c r="N1" s="106"/>
      <c r="O1" s="106"/>
      <c r="P1" s="106"/>
      <c r="Q1" s="106"/>
      <c r="R1" s="106"/>
      <c r="S1" s="106"/>
      <c r="T1" s="106"/>
      <c r="U1" s="106"/>
      <c r="V1" s="106"/>
      <c r="W1" s="108"/>
      <c r="X1" s="108"/>
      <c r="Y1" s="108"/>
      <c r="Z1" s="109"/>
      <c r="CA1" s="6"/>
    </row>
    <row r="2" spans="1:79" s="6" customFormat="1" ht="19" customHeight="1" x14ac:dyDescent="0.45">
      <c r="W2" s="105" t="s">
        <v>96</v>
      </c>
      <c r="X2" s="106"/>
      <c r="Y2" s="106"/>
      <c r="Z2" s="106"/>
      <c r="AA2" s="106"/>
      <c r="AB2" s="106"/>
      <c r="AC2" s="106"/>
      <c r="AD2" s="106"/>
      <c r="AE2" s="106"/>
      <c r="AF2" s="106"/>
      <c r="AG2" s="106"/>
      <c r="AH2" s="106"/>
      <c r="AI2" s="106"/>
      <c r="AJ2" s="106"/>
      <c r="AK2" s="106"/>
      <c r="AL2" s="106"/>
      <c r="AM2" s="106"/>
      <c r="AN2" s="106"/>
      <c r="AO2" s="107"/>
    </row>
    <row r="3" spans="1:79" ht="19" customHeight="1" x14ac:dyDescent="0.45">
      <c r="A3" s="84" t="s">
        <v>0</v>
      </c>
      <c r="B3" s="85" t="s">
        <v>37</v>
      </c>
      <c r="C3" s="84" t="s">
        <v>1</v>
      </c>
      <c r="D3" s="84" t="s">
        <v>2</v>
      </c>
      <c r="E3" s="85" t="s">
        <v>31</v>
      </c>
      <c r="F3" s="84" t="s">
        <v>8</v>
      </c>
      <c r="G3" s="85" t="s">
        <v>30</v>
      </c>
      <c r="H3" s="85" t="s">
        <v>120</v>
      </c>
      <c r="I3" s="6"/>
      <c r="J3" s="30" t="s">
        <v>100</v>
      </c>
      <c r="K3" s="13">
        <v>16.82</v>
      </c>
      <c r="L3" s="6"/>
      <c r="M3" s="32"/>
      <c r="N3" s="33"/>
      <c r="O3" s="33"/>
      <c r="P3" s="33"/>
      <c r="Q3" s="6"/>
      <c r="R3" s="6"/>
      <c r="S3" s="6"/>
      <c r="T3" s="6"/>
      <c r="U3" s="6"/>
      <c r="AL3" s="105" t="s">
        <v>121</v>
      </c>
      <c r="AM3" s="106"/>
      <c r="AN3" s="106"/>
      <c r="AO3" s="107"/>
      <c r="BZ3" s="1"/>
    </row>
    <row r="4" spans="1:79" ht="17" customHeight="1" x14ac:dyDescent="0.35">
      <c r="A4" s="84"/>
      <c r="B4" s="85"/>
      <c r="C4" s="84"/>
      <c r="D4" s="84"/>
      <c r="E4" s="85"/>
      <c r="F4" s="84"/>
      <c r="G4" s="85"/>
      <c r="H4" s="85"/>
      <c r="I4" s="6"/>
      <c r="J4" s="6"/>
      <c r="K4" s="6"/>
      <c r="L4" s="33"/>
      <c r="M4" s="32"/>
      <c r="N4" s="33"/>
      <c r="O4" s="33"/>
      <c r="P4" s="33"/>
      <c r="Q4" s="6"/>
      <c r="R4" s="6"/>
      <c r="S4" s="6"/>
      <c r="T4" s="6"/>
      <c r="U4" s="6"/>
      <c r="BZ4" s="1"/>
    </row>
    <row r="5" spans="1:79" ht="17" x14ac:dyDescent="0.4">
      <c r="A5" s="4">
        <v>1</v>
      </c>
      <c r="B5" s="4">
        <v>827</v>
      </c>
      <c r="C5" s="4" t="s">
        <v>5</v>
      </c>
      <c r="D5" s="4">
        <v>3</v>
      </c>
      <c r="E5" s="4" t="s">
        <v>32</v>
      </c>
      <c r="F5" s="4" t="s">
        <v>32</v>
      </c>
      <c r="G5" s="4" t="s">
        <v>32</v>
      </c>
      <c r="H5" s="4" t="s">
        <v>32</v>
      </c>
      <c r="I5" s="6"/>
      <c r="J5" s="30" t="s">
        <v>38</v>
      </c>
      <c r="K5" s="13">
        <v>35.31</v>
      </c>
      <c r="L5" s="6"/>
      <c r="M5" s="86" t="s">
        <v>77</v>
      </c>
      <c r="N5" s="87"/>
      <c r="O5" s="6"/>
      <c r="P5" s="6"/>
      <c r="Q5" s="6"/>
      <c r="R5" s="86" t="s">
        <v>79</v>
      </c>
      <c r="S5" s="87"/>
      <c r="T5" s="6"/>
      <c r="U5" s="6"/>
      <c r="W5" s="86" t="s">
        <v>78</v>
      </c>
      <c r="X5" s="87"/>
      <c r="AB5" s="86" t="s">
        <v>97</v>
      </c>
      <c r="AC5" s="87"/>
      <c r="AG5" s="86" t="s">
        <v>98</v>
      </c>
      <c r="AH5" s="87"/>
      <c r="AL5" s="86" t="s">
        <v>99</v>
      </c>
      <c r="AM5" s="87"/>
      <c r="BZ5" s="1"/>
    </row>
    <row r="6" spans="1:79" ht="15.5" customHeight="1" x14ac:dyDescent="0.4">
      <c r="A6" s="4">
        <v>2</v>
      </c>
      <c r="B6" s="4">
        <v>841</v>
      </c>
      <c r="C6" s="4" t="s">
        <v>4</v>
      </c>
      <c r="D6" s="4">
        <v>2</v>
      </c>
      <c r="E6" s="4" t="s">
        <v>32</v>
      </c>
      <c r="F6" s="4" t="s">
        <v>32</v>
      </c>
      <c r="G6" s="4" t="s">
        <v>32</v>
      </c>
      <c r="H6" s="4" t="s">
        <v>32</v>
      </c>
      <c r="I6" s="6"/>
      <c r="J6" s="6"/>
      <c r="K6" s="35"/>
      <c r="L6" s="6"/>
      <c r="M6" s="36" t="s">
        <v>81</v>
      </c>
      <c r="N6" s="37">
        <v>61</v>
      </c>
      <c r="O6" s="6"/>
      <c r="P6" s="6"/>
      <c r="Q6" s="6"/>
      <c r="R6" s="36" t="s">
        <v>81</v>
      </c>
      <c r="S6" s="37">
        <v>61</v>
      </c>
      <c r="T6" s="6"/>
      <c r="U6" s="6"/>
      <c r="W6" s="36" t="s">
        <v>81</v>
      </c>
      <c r="X6" s="37">
        <v>61.5</v>
      </c>
      <c r="AB6" s="36" t="s">
        <v>81</v>
      </c>
      <c r="AC6" s="37">
        <v>61.5</v>
      </c>
      <c r="AG6" s="36" t="s">
        <v>81</v>
      </c>
      <c r="AH6" s="37">
        <v>61.5</v>
      </c>
      <c r="AL6" s="36" t="s">
        <v>81</v>
      </c>
      <c r="AM6" s="37">
        <v>63.5</v>
      </c>
      <c r="BZ6" s="1"/>
    </row>
    <row r="7" spans="1:79" ht="17" customHeight="1" x14ac:dyDescent="0.4">
      <c r="A7" s="4">
        <v>3</v>
      </c>
      <c r="B7" s="4">
        <v>801</v>
      </c>
      <c r="C7" s="4" t="s">
        <v>5</v>
      </c>
      <c r="D7" s="4">
        <v>3</v>
      </c>
      <c r="E7" s="4" t="s">
        <v>32</v>
      </c>
      <c r="F7" s="4" t="s">
        <v>32</v>
      </c>
      <c r="G7" s="4" t="s">
        <v>32</v>
      </c>
      <c r="H7" s="4" t="s">
        <v>32</v>
      </c>
      <c r="I7" s="6"/>
      <c r="J7" s="86" t="s">
        <v>3</v>
      </c>
      <c r="K7" s="87"/>
      <c r="L7" s="38"/>
      <c r="M7" s="36" t="s">
        <v>28</v>
      </c>
      <c r="N7" s="39">
        <f>X7</f>
        <v>49000</v>
      </c>
      <c r="O7" s="6"/>
      <c r="P7" s="6"/>
      <c r="Q7" s="6"/>
      <c r="R7" s="36" t="s">
        <v>28</v>
      </c>
      <c r="S7" s="39">
        <f>N7</f>
        <v>49000</v>
      </c>
      <c r="T7" s="6"/>
      <c r="U7" s="6"/>
      <c r="W7" s="36" t="s">
        <v>28</v>
      </c>
      <c r="X7" s="14">
        <v>49000</v>
      </c>
      <c r="AB7" s="36" t="s">
        <v>28</v>
      </c>
      <c r="AC7" s="39">
        <f>X7</f>
        <v>49000</v>
      </c>
      <c r="AG7" s="36" t="s">
        <v>28</v>
      </c>
      <c r="AH7" s="39">
        <f>S7</f>
        <v>49000</v>
      </c>
      <c r="AL7" s="36" t="s">
        <v>28</v>
      </c>
      <c r="AM7" s="39">
        <f>X7</f>
        <v>49000</v>
      </c>
      <c r="BZ7" s="1"/>
    </row>
    <row r="8" spans="1:79" x14ac:dyDescent="0.35">
      <c r="A8" s="4">
        <v>4</v>
      </c>
      <c r="B8" s="4">
        <v>888</v>
      </c>
      <c r="C8" s="4" t="s">
        <v>5</v>
      </c>
      <c r="D8" s="4">
        <v>3</v>
      </c>
      <c r="E8" s="4" t="s">
        <v>32</v>
      </c>
      <c r="F8" s="4" t="s">
        <v>32</v>
      </c>
      <c r="G8" s="4" t="s">
        <v>32</v>
      </c>
      <c r="H8" s="4" t="s">
        <v>32</v>
      </c>
      <c r="I8" s="6"/>
      <c r="J8" s="36" t="s">
        <v>17</v>
      </c>
      <c r="K8" s="40">
        <f>COUNTIF(B5:B124, "&gt;0")</f>
        <v>35</v>
      </c>
      <c r="L8" s="6"/>
      <c r="M8" s="36" t="s">
        <v>29</v>
      </c>
      <c r="N8" s="41" cm="1">
        <f t="array" ref="N8">_xlfn.IFS(K10&gt;(N7+(N7*0.03)), (K10-(N7+(N7*0.03))), K10&lt;(N7-(N7*0.03)), (K10-(N7-(N7*0.03))), K10&lt;(N7+(N7*0.03)), "0", K10&gt;(N7-(N7*0.03)), "0")</f>
        <v>810</v>
      </c>
      <c r="O8" s="6"/>
      <c r="P8" s="6"/>
      <c r="Q8" s="6"/>
      <c r="R8" s="36" t="s">
        <v>29</v>
      </c>
      <c r="S8" s="41" cm="1">
        <f t="array" ref="S8">_xlfn.IFS(K10&gt;(S7+(S7*0.03)), (K10-(S7+(S7*0.03))), K10&lt;(S7-(S7*0.03)), (K10-(S7-(S7*0.03))), K10&lt;(S7+(S7*0.03)), "0", K10&gt;(S7-(S7*0.03)), "0")</f>
        <v>810</v>
      </c>
      <c r="T8" s="6"/>
      <c r="U8" s="6"/>
      <c r="W8" s="36" t="s">
        <v>29</v>
      </c>
      <c r="X8" s="36" cm="1">
        <f t="array" ref="X8">_xlfn.IFS(K10&gt;(X7+(X7*0.03)), (K10-(X7+(X7*0.03))), K10&lt;(X7-(X7*0.03)), (K10-(X7-(X7*0.03))), K10&lt;(X7+(X7*0.03)), "0", K10&gt;(X7-(X7*0.03)), "0")</f>
        <v>810</v>
      </c>
      <c r="AB8" s="36" t="s">
        <v>29</v>
      </c>
      <c r="AC8" s="36" cm="1">
        <f t="array" ref="AC8">_xlfn.IFS(K10&gt;(AC7+(AC7*0.03)), (K10-(AC7+(AC7*0.03))), K10&lt;(AC7-(AC7*0.03)), (K10-(AC7-(AC7*0.03))), P10&lt;(AC7+(AC7*0.03)), "0", K10&gt;(AC7-(AC7*0.03)), "0")</f>
        <v>810</v>
      </c>
      <c r="AG8" s="36" t="s">
        <v>29</v>
      </c>
      <c r="AH8" s="36" cm="1">
        <f t="array" ref="AH8">_xlfn.IFS(K10&gt;(AH7+(AH7*0.03)), (K10-(AH7+(AH7*0.03))), K10&lt;(AH7-(AH7*0.03)), (K10-(AH7-(AH7*0.03))), K10&lt;(AH7+(AH7*0.03)), "0", K10&gt;(AH7-(AH7*0.03)), "0")</f>
        <v>810</v>
      </c>
      <c r="AL8" s="36" t="s">
        <v>29</v>
      </c>
      <c r="AM8" s="36" cm="1">
        <f t="array" ref="AM8">_xlfn.IFS(K10&gt;(AM7+(AM7*0.03)), (K10-(AM7+(AM7*0.03))), K10&lt;(AM7-(AM7*0.03)), (K10-(AM7-(AM7*0.03))), K10&lt;(AM7+(AM7*0.03)), "0", K10&gt;(AM7-(AM7*0.03)), "0")</f>
        <v>810</v>
      </c>
      <c r="BZ8" s="1"/>
    </row>
    <row r="9" spans="1:79" x14ac:dyDescent="0.35">
      <c r="A9" s="4">
        <v>5</v>
      </c>
      <c r="B9" s="4">
        <v>899</v>
      </c>
      <c r="C9" s="4" t="s">
        <v>5</v>
      </c>
      <c r="D9" s="4">
        <v>2</v>
      </c>
      <c r="E9" s="4" t="s">
        <v>32</v>
      </c>
      <c r="F9" s="4" t="s">
        <v>32</v>
      </c>
      <c r="G9" s="4" t="s">
        <v>32</v>
      </c>
      <c r="H9" s="4" t="s">
        <v>32</v>
      </c>
      <c r="I9" s="6"/>
      <c r="J9" s="36" t="s">
        <v>68</v>
      </c>
      <c r="K9" s="40">
        <f>COUNTIFS(C4:C124, "Standard", E4:E124, "No") + COUNTIFS(C4:C124, "&lt;&gt;", E4:E124, "Yes") + COUNTIFS(C4:C124, "No Roll", E4:E124, "No")</f>
        <v>0</v>
      </c>
      <c r="L9" s="6"/>
      <c r="M9" s="36" t="s">
        <v>25</v>
      </c>
      <c r="N9" s="42">
        <f>X9</f>
        <v>190</v>
      </c>
      <c r="O9" s="33"/>
      <c r="P9" s="6"/>
      <c r="Q9" s="6"/>
      <c r="R9" s="36" t="s">
        <v>25</v>
      </c>
      <c r="S9" s="42">
        <f>X9</f>
        <v>190</v>
      </c>
      <c r="T9" s="6"/>
      <c r="U9" s="6"/>
      <c r="W9" s="36" t="s">
        <v>25</v>
      </c>
      <c r="X9" s="42">
        <f>X11-X10</f>
        <v>190</v>
      </c>
      <c r="AB9" s="36" t="s">
        <v>25</v>
      </c>
      <c r="AC9" s="42">
        <f>X9</f>
        <v>190</v>
      </c>
      <c r="AG9" s="36" t="s">
        <v>25</v>
      </c>
      <c r="AH9" s="42">
        <f>X9</f>
        <v>190</v>
      </c>
      <c r="AL9" s="36" t="s">
        <v>25</v>
      </c>
      <c r="AM9" s="42">
        <f>X9</f>
        <v>190</v>
      </c>
      <c r="BZ9" s="1"/>
    </row>
    <row r="10" spans="1:79" x14ac:dyDescent="0.35">
      <c r="A10" s="4">
        <v>6</v>
      </c>
      <c r="B10" s="4">
        <v>786</v>
      </c>
      <c r="C10" s="4" t="s">
        <v>6</v>
      </c>
      <c r="D10" s="4">
        <v>2</v>
      </c>
      <c r="E10" s="4" t="s">
        <v>32</v>
      </c>
      <c r="F10" s="4" t="s">
        <v>32</v>
      </c>
      <c r="G10" s="4" t="s">
        <v>32</v>
      </c>
      <c r="H10" s="4" t="s">
        <v>32</v>
      </c>
      <c r="I10" s="6"/>
      <c r="J10" s="36" t="s">
        <v>56</v>
      </c>
      <c r="K10" s="14">
        <v>51280</v>
      </c>
      <c r="L10" s="43"/>
      <c r="M10" s="36" t="s">
        <v>26</v>
      </c>
      <c r="N10" s="13">
        <v>-12</v>
      </c>
      <c r="O10" s="6"/>
      <c r="P10" s="6"/>
      <c r="Q10" s="6"/>
      <c r="R10" s="36" t="s">
        <v>26</v>
      </c>
      <c r="S10" s="13">
        <f>N10</f>
        <v>-12</v>
      </c>
      <c r="T10" s="6"/>
      <c r="U10" s="6"/>
      <c r="W10" s="36" t="s">
        <v>26</v>
      </c>
      <c r="X10" s="13">
        <v>-8</v>
      </c>
      <c r="AB10" s="36" t="s">
        <v>26</v>
      </c>
      <c r="AC10" s="13">
        <v>-4</v>
      </c>
      <c r="AG10" s="36" t="s">
        <v>26</v>
      </c>
      <c r="AH10" s="13">
        <v>-4</v>
      </c>
      <c r="AL10" s="36" t="s">
        <v>26</v>
      </c>
      <c r="AM10" s="13">
        <v>0</v>
      </c>
      <c r="BZ10" s="1"/>
    </row>
    <row r="11" spans="1:79" x14ac:dyDescent="0.35">
      <c r="A11" s="4">
        <v>7</v>
      </c>
      <c r="B11" s="4">
        <v>745</v>
      </c>
      <c r="C11" s="4" t="s">
        <v>6</v>
      </c>
      <c r="D11" s="4">
        <v>2</v>
      </c>
      <c r="E11" s="4" t="s">
        <v>32</v>
      </c>
      <c r="F11" s="4" t="s">
        <v>32</v>
      </c>
      <c r="G11" s="4" t="s">
        <v>32</v>
      </c>
      <c r="H11" s="4" t="s">
        <v>32</v>
      </c>
      <c r="I11" s="6"/>
      <c r="J11" s="36" t="s">
        <v>57</v>
      </c>
      <c r="K11" s="39">
        <f>K10/K8</f>
        <v>1465.1428571428571</v>
      </c>
      <c r="L11" s="6"/>
      <c r="M11" s="36" t="s">
        <v>23</v>
      </c>
      <c r="N11" s="42">
        <f>N9+N10</f>
        <v>178</v>
      </c>
      <c r="O11" s="33"/>
      <c r="P11" s="33"/>
      <c r="Q11" s="6"/>
      <c r="R11" s="36" t="s">
        <v>23</v>
      </c>
      <c r="S11" s="42">
        <f>S9+S10</f>
        <v>178</v>
      </c>
      <c r="T11" s="33"/>
      <c r="U11" s="33"/>
      <c r="W11" s="36" t="s">
        <v>23</v>
      </c>
      <c r="X11" s="13">
        <v>182</v>
      </c>
      <c r="AB11" s="36" t="s">
        <v>23</v>
      </c>
      <c r="AC11" s="42">
        <f>AC9+AC10</f>
        <v>186</v>
      </c>
      <c r="AG11" s="36" t="s">
        <v>23</v>
      </c>
      <c r="AH11" s="42">
        <f>AH9+AH10</f>
        <v>186</v>
      </c>
      <c r="AL11" s="36" t="s">
        <v>23</v>
      </c>
      <c r="AM11" s="42">
        <f>AM9+AM10</f>
        <v>190</v>
      </c>
      <c r="BZ11" s="1"/>
    </row>
    <row r="12" spans="1:79" x14ac:dyDescent="0.35">
      <c r="A12" s="4">
        <v>8</v>
      </c>
      <c r="B12" s="4">
        <v>823</v>
      </c>
      <c r="C12" s="4" t="s">
        <v>6</v>
      </c>
      <c r="D12" s="4">
        <v>2</v>
      </c>
      <c r="E12" s="4" t="s">
        <v>32</v>
      </c>
      <c r="F12" s="4" t="s">
        <v>32</v>
      </c>
      <c r="G12" s="4" t="s">
        <v>32</v>
      </c>
      <c r="H12" s="4" t="s">
        <v>32</v>
      </c>
      <c r="I12" s="6"/>
      <c r="J12" s="36" t="s">
        <v>58</v>
      </c>
      <c r="K12" s="39">
        <f>SUM(B5:B124)</f>
        <v>30519</v>
      </c>
      <c r="L12" s="43"/>
      <c r="M12" s="36" t="s">
        <v>24</v>
      </c>
      <c r="N12" s="42">
        <f>N11/(N6/100)</f>
        <v>291.80327868852459</v>
      </c>
      <c r="O12" s="33"/>
      <c r="P12" s="33"/>
      <c r="Q12" s="6"/>
      <c r="R12" s="36" t="s">
        <v>24</v>
      </c>
      <c r="S12" s="42">
        <f>S11/(S6/100)</f>
        <v>291.80327868852459</v>
      </c>
      <c r="T12" s="33"/>
      <c r="U12" s="33"/>
      <c r="W12" s="36" t="s">
        <v>24</v>
      </c>
      <c r="X12" s="42">
        <f>X11/(X6/100)</f>
        <v>295.9349593495935</v>
      </c>
      <c r="AB12" s="36" t="s">
        <v>24</v>
      </c>
      <c r="AC12" s="42">
        <f>AC11/(AC6/100)</f>
        <v>302.4390243902439</v>
      </c>
      <c r="AG12" s="36" t="s">
        <v>24</v>
      </c>
      <c r="AH12" s="42">
        <f>AH11/(AH6/100)</f>
        <v>302.4390243902439</v>
      </c>
      <c r="AL12" s="36" t="s">
        <v>24</v>
      </c>
      <c r="AM12" s="42">
        <f>AM11/(AM6/100)</f>
        <v>299.21259842519686</v>
      </c>
      <c r="BZ12" s="1"/>
    </row>
    <row r="13" spans="1:79" x14ac:dyDescent="0.35">
      <c r="A13" s="4">
        <v>9</v>
      </c>
      <c r="B13" s="4">
        <v>864</v>
      </c>
      <c r="C13" s="4" t="s">
        <v>6</v>
      </c>
      <c r="D13" s="4">
        <v>3</v>
      </c>
      <c r="E13" s="4" t="s">
        <v>32</v>
      </c>
      <c r="F13" s="4" t="s">
        <v>32</v>
      </c>
      <c r="G13" s="4" t="s">
        <v>32</v>
      </c>
      <c r="H13" s="4" t="s">
        <v>32</v>
      </c>
      <c r="I13" s="6"/>
      <c r="J13" s="36" t="s">
        <v>59</v>
      </c>
      <c r="K13" s="39">
        <f>K12/K8</f>
        <v>871.97142857142853</v>
      </c>
      <c r="L13" s="44"/>
      <c r="M13" s="36" t="s">
        <v>27</v>
      </c>
      <c r="N13" s="13">
        <v>176</v>
      </c>
      <c r="O13" s="6"/>
      <c r="P13" s="6"/>
      <c r="Q13" s="6"/>
      <c r="R13" s="36" t="s">
        <v>27</v>
      </c>
      <c r="S13" s="42">
        <f>N13</f>
        <v>176</v>
      </c>
      <c r="T13" s="6"/>
      <c r="U13" s="6"/>
      <c r="W13" s="36" t="s">
        <v>27</v>
      </c>
      <c r="X13" s="13">
        <v>176</v>
      </c>
      <c r="AB13" s="36" t="s">
        <v>27</v>
      </c>
      <c r="AC13" s="42">
        <f>X13</f>
        <v>176</v>
      </c>
      <c r="AG13" s="36" t="s">
        <v>27</v>
      </c>
      <c r="AH13" s="42">
        <f>X13</f>
        <v>176</v>
      </c>
      <c r="AL13" s="36" t="s">
        <v>27</v>
      </c>
      <c r="AM13" s="13">
        <f>X13</f>
        <v>176</v>
      </c>
      <c r="BZ13" s="1"/>
    </row>
    <row r="14" spans="1:79" x14ac:dyDescent="0.35">
      <c r="A14" s="4">
        <v>10</v>
      </c>
      <c r="B14" s="4">
        <v>902</v>
      </c>
      <c r="C14" s="4" t="s">
        <v>5</v>
      </c>
      <c r="D14" s="4">
        <v>3</v>
      </c>
      <c r="E14" s="4" t="s">
        <v>32</v>
      </c>
      <c r="F14" s="4" t="s">
        <v>32</v>
      </c>
      <c r="G14" s="4" t="s">
        <v>32</v>
      </c>
      <c r="H14" s="4" t="s">
        <v>32</v>
      </c>
      <c r="I14" s="6"/>
      <c r="J14" s="36" t="s">
        <v>18</v>
      </c>
      <c r="K14" s="37">
        <f>(K12/K10)*100</f>
        <v>59.514430577223088</v>
      </c>
      <c r="L14" s="6"/>
      <c r="M14" s="36" t="s">
        <v>69</v>
      </c>
      <c r="N14" s="42">
        <f>N13/(N6/100)</f>
        <v>288.52459016393442</v>
      </c>
      <c r="O14" s="6"/>
      <c r="P14" s="6"/>
      <c r="Q14" s="6"/>
      <c r="R14" s="36" t="s">
        <v>69</v>
      </c>
      <c r="S14" s="42">
        <f>S13/(S6/100)</f>
        <v>288.52459016393442</v>
      </c>
      <c r="T14" s="6"/>
      <c r="U14" s="6"/>
      <c r="W14" s="36" t="s">
        <v>69</v>
      </c>
      <c r="X14" s="42">
        <f>X13/(X6/100)</f>
        <v>286.17886178861789</v>
      </c>
      <c r="AB14" s="36" t="s">
        <v>69</v>
      </c>
      <c r="AC14" s="42">
        <f>AC13/(AC6/100)</f>
        <v>286.17886178861789</v>
      </c>
      <c r="AG14" s="36" t="s">
        <v>69</v>
      </c>
      <c r="AH14" s="42">
        <f>AH13/(AH6/100)</f>
        <v>286.17886178861789</v>
      </c>
      <c r="AL14" s="36" t="s">
        <v>69</v>
      </c>
      <c r="AM14" s="42">
        <f>AM13/(AM6/100)</f>
        <v>277.16535433070868</v>
      </c>
      <c r="BZ14" s="1"/>
    </row>
    <row r="15" spans="1:79" ht="14.5" customHeight="1" x14ac:dyDescent="0.35">
      <c r="A15" s="4">
        <v>11</v>
      </c>
      <c r="B15" s="4">
        <v>901</v>
      </c>
      <c r="C15" s="4" t="s">
        <v>5</v>
      </c>
      <c r="D15" s="4">
        <v>3</v>
      </c>
      <c r="E15" s="4" t="s">
        <v>32</v>
      </c>
      <c r="F15" s="4" t="s">
        <v>32</v>
      </c>
      <c r="G15" s="4" t="s">
        <v>32</v>
      </c>
      <c r="H15" s="4" t="s">
        <v>32</v>
      </c>
      <c r="I15" s="6"/>
      <c r="J15" s="32"/>
      <c r="K15" s="6"/>
      <c r="L15" s="6"/>
      <c r="M15" s="6"/>
      <c r="N15" s="6"/>
      <c r="O15" s="6"/>
      <c r="P15" s="6"/>
      <c r="Q15" s="38"/>
      <c r="R15" s="6"/>
      <c r="S15" s="6"/>
      <c r="T15" s="6"/>
      <c r="U15" s="6"/>
      <c r="BZ15" s="1"/>
    </row>
    <row r="16" spans="1:79" ht="14.5" customHeight="1" x14ac:dyDescent="0.35">
      <c r="A16" s="4">
        <v>12</v>
      </c>
      <c r="B16" s="4">
        <v>737</v>
      </c>
      <c r="C16" s="4" t="s">
        <v>6</v>
      </c>
      <c r="D16" s="4">
        <v>2</v>
      </c>
      <c r="E16" s="4" t="s">
        <v>32</v>
      </c>
      <c r="F16" s="4" t="s">
        <v>32</v>
      </c>
      <c r="G16" s="4" t="s">
        <v>32</v>
      </c>
      <c r="H16" s="4" t="s">
        <v>32</v>
      </c>
      <c r="I16" s="6"/>
      <c r="J16" s="84" t="s">
        <v>20</v>
      </c>
      <c r="K16" s="84" t="s">
        <v>60</v>
      </c>
      <c r="L16" s="38"/>
      <c r="M16" s="98" t="s">
        <v>20</v>
      </c>
      <c r="N16" s="84" t="s">
        <v>36</v>
      </c>
      <c r="O16" s="85" t="s">
        <v>50</v>
      </c>
      <c r="P16" s="84" t="s">
        <v>35</v>
      </c>
      <c r="Q16" s="38"/>
      <c r="R16" s="98" t="s">
        <v>20</v>
      </c>
      <c r="S16" s="84" t="s">
        <v>36</v>
      </c>
      <c r="T16" s="85" t="s">
        <v>50</v>
      </c>
      <c r="U16" s="84" t="s">
        <v>35</v>
      </c>
      <c r="W16" s="99" t="s">
        <v>20</v>
      </c>
      <c r="X16" s="84" t="s">
        <v>36</v>
      </c>
      <c r="Y16" s="90" t="s">
        <v>50</v>
      </c>
      <c r="Z16" s="82" t="s">
        <v>35</v>
      </c>
      <c r="AB16" s="99" t="s">
        <v>20</v>
      </c>
      <c r="AC16" s="84" t="s">
        <v>36</v>
      </c>
      <c r="AD16" s="90" t="s">
        <v>50</v>
      </c>
      <c r="AE16" s="82" t="s">
        <v>35</v>
      </c>
      <c r="AG16" s="99" t="s">
        <v>20</v>
      </c>
      <c r="AH16" s="84" t="s">
        <v>36</v>
      </c>
      <c r="AI16" s="90" t="s">
        <v>50</v>
      </c>
      <c r="AJ16" s="82" t="s">
        <v>35</v>
      </c>
      <c r="AL16" s="99" t="s">
        <v>20</v>
      </c>
      <c r="AM16" s="84" t="s">
        <v>36</v>
      </c>
      <c r="AN16" s="90" t="s">
        <v>50</v>
      </c>
      <c r="AO16" s="82" t="s">
        <v>35</v>
      </c>
      <c r="BZ16" s="1"/>
    </row>
    <row r="17" spans="1:78" x14ac:dyDescent="0.35">
      <c r="A17" s="4">
        <v>13</v>
      </c>
      <c r="B17" s="4">
        <v>941</v>
      </c>
      <c r="C17" s="4" t="s">
        <v>5</v>
      </c>
      <c r="D17" s="4">
        <v>3</v>
      </c>
      <c r="E17" s="4" t="s">
        <v>32</v>
      </c>
      <c r="F17" s="4" t="s">
        <v>32</v>
      </c>
      <c r="G17" s="4" t="s">
        <v>32</v>
      </c>
      <c r="H17" s="4" t="s">
        <v>32</v>
      </c>
      <c r="I17" s="6"/>
      <c r="J17" s="84"/>
      <c r="K17" s="84"/>
      <c r="L17" s="6"/>
      <c r="M17" s="98"/>
      <c r="N17" s="84"/>
      <c r="O17" s="85"/>
      <c r="P17" s="84"/>
      <c r="Q17" s="6"/>
      <c r="R17" s="98"/>
      <c r="S17" s="84"/>
      <c r="T17" s="85"/>
      <c r="U17" s="84"/>
      <c r="W17" s="100"/>
      <c r="X17" s="84"/>
      <c r="Y17" s="91"/>
      <c r="Z17" s="83"/>
      <c r="AB17" s="100"/>
      <c r="AC17" s="84"/>
      <c r="AD17" s="91"/>
      <c r="AE17" s="83"/>
      <c r="AG17" s="100"/>
      <c r="AH17" s="84"/>
      <c r="AI17" s="91"/>
      <c r="AJ17" s="83"/>
      <c r="AL17" s="100"/>
      <c r="AM17" s="84"/>
      <c r="AN17" s="91"/>
      <c r="AO17" s="83"/>
      <c r="BZ17" s="1"/>
    </row>
    <row r="18" spans="1:78" x14ac:dyDescent="0.35">
      <c r="A18" s="4">
        <v>14</v>
      </c>
      <c r="B18" s="4">
        <v>909</v>
      </c>
      <c r="C18" s="4" t="s">
        <v>5</v>
      </c>
      <c r="D18" s="4">
        <v>2</v>
      </c>
      <c r="E18" s="4" t="s">
        <v>32</v>
      </c>
      <c r="F18" s="4" t="s">
        <v>32</v>
      </c>
      <c r="G18" s="4" t="s">
        <v>32</v>
      </c>
      <c r="H18" s="4" t="s">
        <v>32</v>
      </c>
      <c r="I18" s="6"/>
      <c r="J18" s="36" t="s">
        <v>9</v>
      </c>
      <c r="K18" s="40">
        <f>COUNTIF(B5:B124, "&lt;600")</f>
        <v>0</v>
      </c>
      <c r="L18" s="6"/>
      <c r="M18" s="36" t="s">
        <v>9</v>
      </c>
      <c r="N18" s="39">
        <f>(SUMIF($B$5:$B$124,"&lt;600", $B$5:$B$124))</f>
        <v>0</v>
      </c>
      <c r="O18" s="13">
        <v>-15</v>
      </c>
      <c r="P18" s="42">
        <f t="shared" ref="P18:P25" si="0">N18*O18/100</f>
        <v>0</v>
      </c>
      <c r="Q18" s="6"/>
      <c r="R18" s="36" t="s">
        <v>9</v>
      </c>
      <c r="S18" s="39">
        <f>(SUMIF($B$5:$B$124,"&lt;600", $B$5:$B$124))</f>
        <v>0</v>
      </c>
      <c r="T18" s="13">
        <v>-15</v>
      </c>
      <c r="U18" s="42">
        <f t="shared" ref="U18:U25" si="1">S18*T18/100</f>
        <v>0</v>
      </c>
      <c r="W18" s="36" t="s">
        <v>9</v>
      </c>
      <c r="X18" s="39">
        <f>(SUMIF($B$5:$B$124,"&lt;600", $B$5:$B$124))</f>
        <v>0</v>
      </c>
      <c r="Y18" s="13">
        <v>-20</v>
      </c>
      <c r="Z18" s="42">
        <f t="shared" ref="Z18:Z25" si="2">X18*Y18/100</f>
        <v>0</v>
      </c>
      <c r="AB18" s="36" t="s">
        <v>9</v>
      </c>
      <c r="AC18" s="39">
        <f>(SUMIF($B$5:$B$124,"&lt;600", $B$5:$B$124))</f>
        <v>0</v>
      </c>
      <c r="AD18" s="13">
        <v>-20</v>
      </c>
      <c r="AE18" s="42">
        <f t="shared" ref="AE18:AE25" si="3">AC18*AD18/100</f>
        <v>0</v>
      </c>
      <c r="AG18" s="36" t="s">
        <v>9</v>
      </c>
      <c r="AH18" s="39">
        <f>(SUMIF($B$5:$B$124,"&lt;600", $B$5:$B$124))</f>
        <v>0</v>
      </c>
      <c r="AI18" s="13">
        <v>-20</v>
      </c>
      <c r="AJ18" s="42">
        <f t="shared" ref="AJ18:AJ25" si="4">AH18*AI18/100</f>
        <v>0</v>
      </c>
      <c r="AL18" s="36" t="s">
        <v>9</v>
      </c>
      <c r="AM18" s="39">
        <f>(SUMIF($B$5:$B$124,"&lt;600", $B$5:$B$124))</f>
        <v>0</v>
      </c>
      <c r="AN18" s="13">
        <v>-15</v>
      </c>
      <c r="AO18" s="42">
        <f t="shared" ref="AO18:AO25" si="5">AM18*AN18/100</f>
        <v>0</v>
      </c>
      <c r="BZ18" s="1"/>
    </row>
    <row r="19" spans="1:78" x14ac:dyDescent="0.35">
      <c r="A19" s="4">
        <v>15</v>
      </c>
      <c r="B19" s="4">
        <v>894</v>
      </c>
      <c r="C19" s="4" t="s">
        <v>5</v>
      </c>
      <c r="D19" s="4">
        <v>3</v>
      </c>
      <c r="E19" s="4" t="s">
        <v>32</v>
      </c>
      <c r="F19" s="4" t="s">
        <v>32</v>
      </c>
      <c r="G19" s="4" t="s">
        <v>32</v>
      </c>
      <c r="H19" s="4" t="s">
        <v>32</v>
      </c>
      <c r="I19" s="6"/>
      <c r="J19" s="36" t="s">
        <v>10</v>
      </c>
      <c r="K19" s="40">
        <f>COUNTIFS($B$5:$B$124, "&gt;=600", $B$5:$B$124, "&lt;650")</f>
        <v>0</v>
      </c>
      <c r="L19" s="6"/>
      <c r="M19" s="36" t="s">
        <v>10</v>
      </c>
      <c r="N19" s="39">
        <f>(SUMIFS($B$5:$B$124, $B$5:$B$124,"&gt;=600",$B$5:$B$124, "&lt;650"))</f>
        <v>0</v>
      </c>
      <c r="O19" s="13">
        <v>-15</v>
      </c>
      <c r="P19" s="42">
        <f t="shared" si="0"/>
        <v>0</v>
      </c>
      <c r="Q19" s="33"/>
      <c r="R19" s="36" t="s">
        <v>10</v>
      </c>
      <c r="S19" s="39">
        <f>(SUMIFS($B$5:$B$124, $B$5:$B$124,"&gt;=600",$B$5:$B$124, "&lt;650"))</f>
        <v>0</v>
      </c>
      <c r="T19" s="13">
        <v>-15</v>
      </c>
      <c r="U19" s="42">
        <f t="shared" si="1"/>
        <v>0</v>
      </c>
      <c r="W19" s="36" t="s">
        <v>10</v>
      </c>
      <c r="X19" s="39">
        <f>(SUMIFS($B$5:$B$124, $B$5:$B$124,"&gt;=600",$B$5:$B$124, "&lt;650"))</f>
        <v>0</v>
      </c>
      <c r="Y19" s="13">
        <v>-15</v>
      </c>
      <c r="Z19" s="42">
        <f t="shared" si="2"/>
        <v>0</v>
      </c>
      <c r="AB19" s="36" t="s">
        <v>10</v>
      </c>
      <c r="AC19" s="39">
        <f>(SUMIFS($B$5:$B$124, $B$5:$B$124,"&gt;=600",$B$5:$B$124, "&lt;650"))</f>
        <v>0</v>
      </c>
      <c r="AD19" s="13">
        <v>-15</v>
      </c>
      <c r="AE19" s="42">
        <f t="shared" si="3"/>
        <v>0</v>
      </c>
      <c r="AG19" s="36" t="s">
        <v>10</v>
      </c>
      <c r="AH19" s="39">
        <f>(SUMIFS($B$5:$B$124, $B$5:$B$124,"&gt;=600",$B$5:$B$124, "&lt;650"))</f>
        <v>0</v>
      </c>
      <c r="AI19" s="13">
        <v>-15</v>
      </c>
      <c r="AJ19" s="42">
        <f t="shared" si="4"/>
        <v>0</v>
      </c>
      <c r="AL19" s="36" t="s">
        <v>10</v>
      </c>
      <c r="AM19" s="39">
        <f>(SUMIFS($B$5:$B$124, $B$5:$B$124,"&gt;=600",$B$5:$B$124, "&lt;650"))</f>
        <v>0</v>
      </c>
      <c r="AN19" s="13">
        <v>-15</v>
      </c>
      <c r="AO19" s="42">
        <f t="shared" si="5"/>
        <v>0</v>
      </c>
      <c r="BZ19" s="1"/>
    </row>
    <row r="20" spans="1:78" x14ac:dyDescent="0.35">
      <c r="A20" s="4">
        <v>16</v>
      </c>
      <c r="B20" s="4">
        <v>858</v>
      </c>
      <c r="C20" s="4" t="s">
        <v>5</v>
      </c>
      <c r="D20" s="4">
        <v>3</v>
      </c>
      <c r="E20" s="4" t="s">
        <v>32</v>
      </c>
      <c r="F20" s="4" t="s">
        <v>32</v>
      </c>
      <c r="G20" s="4" t="s">
        <v>32</v>
      </c>
      <c r="H20" s="4" t="s">
        <v>32</v>
      </c>
      <c r="I20" s="6"/>
      <c r="J20" s="36" t="s">
        <v>11</v>
      </c>
      <c r="K20" s="40">
        <f>COUNTIFS($B$5:$B$124, "&gt;=650", $B$5:$B$124, "&lt;700")</f>
        <v>1</v>
      </c>
      <c r="L20" s="6"/>
      <c r="M20" s="36" t="s">
        <v>11</v>
      </c>
      <c r="N20" s="39">
        <f>(SUMIFS($B$5:$B$124, $B$5:$B$124,"&gt;=650",$B$5:$B$124, "&lt;700"))</f>
        <v>697</v>
      </c>
      <c r="O20" s="13">
        <v>-15</v>
      </c>
      <c r="P20" s="42">
        <f t="shared" si="0"/>
        <v>-104.55</v>
      </c>
      <c r="Q20" s="6"/>
      <c r="R20" s="36" t="s">
        <v>11</v>
      </c>
      <c r="S20" s="39">
        <f>(SUMIFS($B$5:$B$124, $B$5:$B$124,"&gt;=650",$B$5:$B$124, "&lt;700"))</f>
        <v>697</v>
      </c>
      <c r="T20" s="13">
        <v>-15</v>
      </c>
      <c r="U20" s="42">
        <f t="shared" si="1"/>
        <v>-104.55</v>
      </c>
      <c r="W20" s="36" t="s">
        <v>11</v>
      </c>
      <c r="X20" s="39">
        <f>(SUMIFS($B$5:$B$124, $B$5:$B$124,"&gt;=650",$B$5:$B$124, "&lt;700"))</f>
        <v>697</v>
      </c>
      <c r="Y20" s="13">
        <v>-5</v>
      </c>
      <c r="Z20" s="42">
        <f t="shared" si="2"/>
        <v>-34.85</v>
      </c>
      <c r="AB20" s="36" t="s">
        <v>11</v>
      </c>
      <c r="AC20" s="39">
        <f>(SUMIFS($B$5:$B$124, $B$5:$B$124,"&gt;=650",$B$5:$B$124, "&lt;700"))</f>
        <v>697</v>
      </c>
      <c r="AD20" s="13">
        <v>-5</v>
      </c>
      <c r="AE20" s="42">
        <f t="shared" si="3"/>
        <v>-34.85</v>
      </c>
      <c r="AG20" s="36" t="s">
        <v>11</v>
      </c>
      <c r="AH20" s="39">
        <f>(SUMIFS($B$5:$B$124, $B$5:$B$124,"&gt;=650",$B$5:$B$124, "&lt;700"))</f>
        <v>697</v>
      </c>
      <c r="AI20" s="13">
        <v>-5</v>
      </c>
      <c r="AJ20" s="42">
        <f t="shared" si="4"/>
        <v>-34.85</v>
      </c>
      <c r="AL20" s="36" t="s">
        <v>11</v>
      </c>
      <c r="AM20" s="39">
        <f>(SUMIFS($B$5:$B$124, $B$5:$B$124,"&gt;=650",$B$5:$B$124, "&lt;700"))</f>
        <v>697</v>
      </c>
      <c r="AN20" s="13">
        <v>0</v>
      </c>
      <c r="AO20" s="42">
        <f>AM20*AN20/100</f>
        <v>0</v>
      </c>
      <c r="BZ20" s="1"/>
    </row>
    <row r="21" spans="1:78" x14ac:dyDescent="0.35">
      <c r="A21" s="4">
        <v>17</v>
      </c>
      <c r="B21" s="4">
        <v>913</v>
      </c>
      <c r="C21" s="4" t="s">
        <v>5</v>
      </c>
      <c r="D21" s="4">
        <v>3</v>
      </c>
      <c r="E21" s="4" t="s">
        <v>32</v>
      </c>
      <c r="F21" s="4" t="s">
        <v>32</v>
      </c>
      <c r="G21" s="4" t="s">
        <v>32</v>
      </c>
      <c r="H21" s="4" t="s">
        <v>32</v>
      </c>
      <c r="I21" s="6"/>
      <c r="J21" s="36" t="s">
        <v>12</v>
      </c>
      <c r="K21" s="40">
        <f>COUNTIFS($B$5:$B$124, "&gt;=700", $B$5:$B$124, "&lt;1000")</f>
        <v>34</v>
      </c>
      <c r="L21" s="6"/>
      <c r="M21" s="36" t="s">
        <v>12</v>
      </c>
      <c r="N21" s="39">
        <f>(SUMIFS($B$5:$B$124, $B$5:$B$124,"&gt;=700",$B$5:$B$124, "&lt;1000"))</f>
        <v>29822</v>
      </c>
      <c r="O21" s="13">
        <v>0</v>
      </c>
      <c r="P21" s="42">
        <f t="shared" si="0"/>
        <v>0</v>
      </c>
      <c r="Q21" s="33"/>
      <c r="R21" s="36" t="s">
        <v>12</v>
      </c>
      <c r="S21" s="39">
        <f>(SUMIFS($B$5:$B$124, $B$5:$B$124,"&gt;=700",$B$5:$B$124, "&lt;1000"))</f>
        <v>29822</v>
      </c>
      <c r="T21" s="13">
        <v>0</v>
      </c>
      <c r="U21" s="42">
        <f t="shared" si="1"/>
        <v>0</v>
      </c>
      <c r="W21" s="36" t="s">
        <v>12</v>
      </c>
      <c r="X21" s="39">
        <f>(SUMIFS($B$5:$B$124, $B$5:$B$124,"&gt;=700",$B$5:$B$124, "&lt;1000"))</f>
        <v>29822</v>
      </c>
      <c r="Y21" s="13">
        <v>0</v>
      </c>
      <c r="Z21" s="42">
        <f t="shared" si="2"/>
        <v>0</v>
      </c>
      <c r="AB21" s="36" t="s">
        <v>12</v>
      </c>
      <c r="AC21" s="39">
        <f>(SUMIFS($B$5:$B$124, $B$5:$B$124,"&gt;=700",$B$5:$B$124, "&lt;1000"))</f>
        <v>29822</v>
      </c>
      <c r="AD21" s="13">
        <v>0</v>
      </c>
      <c r="AE21" s="42">
        <f t="shared" si="3"/>
        <v>0</v>
      </c>
      <c r="AG21" s="36" t="s">
        <v>12</v>
      </c>
      <c r="AH21" s="39">
        <f>(SUMIFS($B$5:$B$124, $B$5:$B$124,"&gt;=700",$B$5:$B$124, "&lt;1000"))</f>
        <v>29822</v>
      </c>
      <c r="AI21" s="13">
        <v>0</v>
      </c>
      <c r="AJ21" s="42">
        <f t="shared" si="4"/>
        <v>0</v>
      </c>
      <c r="AL21" s="36" t="s">
        <v>12</v>
      </c>
      <c r="AM21" s="39">
        <f>(SUMIFS($B$5:$B$124, $B$5:$B$124,"&gt;=700",$B$5:$B$124, "&lt;1000"))</f>
        <v>29822</v>
      </c>
      <c r="AN21" s="13">
        <v>0</v>
      </c>
      <c r="AO21" s="42">
        <f t="shared" si="5"/>
        <v>0</v>
      </c>
      <c r="BZ21" s="1"/>
    </row>
    <row r="22" spans="1:78" x14ac:dyDescent="0.35">
      <c r="A22" s="4">
        <v>18</v>
      </c>
      <c r="B22" s="4">
        <v>983</v>
      </c>
      <c r="C22" s="4" t="s">
        <v>5</v>
      </c>
      <c r="D22" s="4">
        <v>3</v>
      </c>
      <c r="E22" s="4" t="s">
        <v>32</v>
      </c>
      <c r="F22" s="4" t="s">
        <v>32</v>
      </c>
      <c r="G22" s="4" t="s">
        <v>32</v>
      </c>
      <c r="H22" s="4" t="s">
        <v>32</v>
      </c>
      <c r="I22" s="6"/>
      <c r="J22" s="36" t="s">
        <v>13</v>
      </c>
      <c r="K22" s="40">
        <f>COUNTIFS($B$5:$B$124, "&gt;=1000", $B$5:$B$124, "&lt;1050")</f>
        <v>0</v>
      </c>
      <c r="L22" s="6"/>
      <c r="M22" s="36" t="s">
        <v>13</v>
      </c>
      <c r="N22" s="39">
        <f>(SUMIFS($B$5:$B$124, $B$5:$B$124,"&gt;=1000",$B$5:$B$124, "&lt;1050"))</f>
        <v>0</v>
      </c>
      <c r="O22" s="13">
        <v>0</v>
      </c>
      <c r="P22" s="42">
        <f t="shared" si="0"/>
        <v>0</v>
      </c>
      <c r="Q22" s="6"/>
      <c r="R22" s="36" t="s">
        <v>13</v>
      </c>
      <c r="S22" s="39">
        <f>(SUMIFS($B$5:$B$124, $B$5:$B$124,"&gt;=1000",$B$5:$B$124, "&lt;1050"))</f>
        <v>0</v>
      </c>
      <c r="T22" s="13">
        <v>0</v>
      </c>
      <c r="U22" s="42">
        <f t="shared" si="1"/>
        <v>0</v>
      </c>
      <c r="W22" s="36" t="s">
        <v>13</v>
      </c>
      <c r="X22" s="39">
        <f>(SUMIFS($B$5:$B$124, $B$5:$B$124,"&gt;=1000",$B$5:$B$124, "&lt;1050"))</f>
        <v>0</v>
      </c>
      <c r="Y22" s="13">
        <v>0</v>
      </c>
      <c r="Z22" s="42">
        <f t="shared" si="2"/>
        <v>0</v>
      </c>
      <c r="AB22" s="36" t="s">
        <v>13</v>
      </c>
      <c r="AC22" s="39">
        <f>(SUMIFS($B$5:$B$124, $B$5:$B$124,"&gt;=1000",$B$5:$B$124, "&lt;1050"))</f>
        <v>0</v>
      </c>
      <c r="AD22" s="13">
        <v>0</v>
      </c>
      <c r="AE22" s="42">
        <f t="shared" si="3"/>
        <v>0</v>
      </c>
      <c r="AG22" s="36" t="s">
        <v>13</v>
      </c>
      <c r="AH22" s="39">
        <f>(SUMIFS($B$5:$B$124, $B$5:$B$124,"&gt;=1000",$B$5:$B$124, "&lt;1050"))</f>
        <v>0</v>
      </c>
      <c r="AI22" s="13">
        <v>0</v>
      </c>
      <c r="AJ22" s="42">
        <f t="shared" si="4"/>
        <v>0</v>
      </c>
      <c r="AL22" s="36" t="s">
        <v>13</v>
      </c>
      <c r="AM22" s="39">
        <f>(SUMIFS($B$5:$B$124, $B$5:$B$124,"&gt;=1000",$B$5:$B$124, "&lt;1050"))</f>
        <v>0</v>
      </c>
      <c r="AN22" s="13">
        <v>0</v>
      </c>
      <c r="AO22" s="42">
        <f t="shared" si="5"/>
        <v>0</v>
      </c>
      <c r="BZ22" s="1"/>
    </row>
    <row r="23" spans="1:78" x14ac:dyDescent="0.35">
      <c r="A23" s="4">
        <v>19</v>
      </c>
      <c r="B23" s="4">
        <v>782</v>
      </c>
      <c r="C23" s="4" t="s">
        <v>6</v>
      </c>
      <c r="D23" s="4">
        <v>3</v>
      </c>
      <c r="E23" s="4" t="s">
        <v>32</v>
      </c>
      <c r="F23" s="4" t="s">
        <v>32</v>
      </c>
      <c r="G23" s="4" t="s">
        <v>32</v>
      </c>
      <c r="H23" s="4" t="s">
        <v>32</v>
      </c>
      <c r="I23" s="6"/>
      <c r="J23" s="36" t="s">
        <v>14</v>
      </c>
      <c r="K23" s="40">
        <f>COUNTIFS($B$5:$B$124, "&gt;=1050", $B$5:$B$124, "&lt;1100")</f>
        <v>0</v>
      </c>
      <c r="L23" s="6"/>
      <c r="M23" s="45" t="s">
        <v>14</v>
      </c>
      <c r="N23" s="39">
        <f>(SUMIFS($B$5:$B$124, $B$5:$B$124,"&gt;=1050",$B$5:$B$124, "&lt;1100"))</f>
        <v>0</v>
      </c>
      <c r="O23" s="13">
        <v>0</v>
      </c>
      <c r="P23" s="42">
        <f t="shared" si="0"/>
        <v>0</v>
      </c>
      <c r="Q23" s="6"/>
      <c r="R23" s="45" t="s">
        <v>14</v>
      </c>
      <c r="S23" s="39">
        <f>(SUMIFS($B$5:$B$124, $B$5:$B$124,"&gt;=1050",$B$5:$B$124, "&lt;1100"))</f>
        <v>0</v>
      </c>
      <c r="T23" s="13">
        <v>0</v>
      </c>
      <c r="U23" s="42">
        <f t="shared" si="1"/>
        <v>0</v>
      </c>
      <c r="W23" s="45" t="s">
        <v>14</v>
      </c>
      <c r="X23" s="39">
        <f>(SUMIFS($B$5:$B$124, $B$5:$B$124,"&gt;=1050",$B$5:$B$124, "&lt;1100"))</f>
        <v>0</v>
      </c>
      <c r="Y23" s="13">
        <v>0</v>
      </c>
      <c r="Z23" s="42">
        <f t="shared" si="2"/>
        <v>0</v>
      </c>
      <c r="AB23" s="45" t="s">
        <v>14</v>
      </c>
      <c r="AC23" s="39">
        <f>(SUMIFS($B$5:$B$124, $B$5:$B$124,"&gt;=1050",$B$5:$B$124, "&lt;1100"))</f>
        <v>0</v>
      </c>
      <c r="AD23" s="13">
        <v>0</v>
      </c>
      <c r="AE23" s="42">
        <f t="shared" si="3"/>
        <v>0</v>
      </c>
      <c r="AG23" s="45" t="s">
        <v>14</v>
      </c>
      <c r="AH23" s="39">
        <f>(SUMIFS($B$5:$B$124, $B$5:$B$124,"&gt;=1050",$B$5:$B$124, "&lt;1100"))</f>
        <v>0</v>
      </c>
      <c r="AI23" s="13">
        <v>0</v>
      </c>
      <c r="AJ23" s="42">
        <f t="shared" si="4"/>
        <v>0</v>
      </c>
      <c r="AL23" s="45" t="s">
        <v>14</v>
      </c>
      <c r="AM23" s="39">
        <f>(SUMIFS($B$5:$B$124, $B$5:$B$124,"&gt;=1050",$B$5:$B$124, "&lt;1100"))</f>
        <v>0</v>
      </c>
      <c r="AN23" s="13">
        <v>0</v>
      </c>
      <c r="AO23" s="42">
        <f t="shared" si="5"/>
        <v>0</v>
      </c>
      <c r="BZ23" s="1"/>
    </row>
    <row r="24" spans="1:78" x14ac:dyDescent="0.35">
      <c r="A24" s="4">
        <v>20</v>
      </c>
      <c r="B24" s="4">
        <v>942</v>
      </c>
      <c r="C24" s="4" t="s">
        <v>5</v>
      </c>
      <c r="D24" s="4">
        <v>3</v>
      </c>
      <c r="E24" s="4" t="s">
        <v>32</v>
      </c>
      <c r="F24" s="4" t="s">
        <v>32</v>
      </c>
      <c r="G24" s="4" t="s">
        <v>32</v>
      </c>
      <c r="H24" s="4" t="s">
        <v>32</v>
      </c>
      <c r="I24" s="6"/>
      <c r="J24" s="36" t="s">
        <v>15</v>
      </c>
      <c r="K24" s="40">
        <f>COUNTIFS($B$5:$B$124, "&gt;=1100", $B$5:$B$124, "&lt;1200")</f>
        <v>0</v>
      </c>
      <c r="L24" s="6"/>
      <c r="M24" s="36" t="s">
        <v>15</v>
      </c>
      <c r="N24" s="46">
        <f>(SUMIFS($B$5:$B$124, $B$5:$B$124,"&gt;=1100",$B$5:$B$124, "&lt;1200"))</f>
        <v>0</v>
      </c>
      <c r="O24" s="15">
        <v>-15</v>
      </c>
      <c r="P24" s="47">
        <f t="shared" si="0"/>
        <v>0</v>
      </c>
      <c r="Q24" s="6"/>
      <c r="R24" s="36" t="s">
        <v>15</v>
      </c>
      <c r="S24" s="46">
        <f>(SUMIFS($B$5:$B$124, $B$5:$B$124,"&gt;=1100",$B$5:$B$124, "&lt;1200"))</f>
        <v>0</v>
      </c>
      <c r="T24" s="15">
        <v>-15</v>
      </c>
      <c r="U24" s="47">
        <f t="shared" si="1"/>
        <v>0</v>
      </c>
      <c r="W24" s="36" t="s">
        <v>15</v>
      </c>
      <c r="X24" s="39">
        <f>(SUMIFS($B$5:$B$124, $B$5:$B$124,"&gt;=1100",$B$5:$B$124, "&lt;1200"))</f>
        <v>0</v>
      </c>
      <c r="Y24" s="15">
        <v>-15</v>
      </c>
      <c r="Z24" s="47">
        <f t="shared" si="2"/>
        <v>0</v>
      </c>
      <c r="AB24" s="36" t="s">
        <v>15</v>
      </c>
      <c r="AC24" s="39">
        <f>(SUMIFS($B$5:$B$124, $B$5:$B$124,"&gt;=1100",$B$5:$B$124, "&lt;1200"))</f>
        <v>0</v>
      </c>
      <c r="AD24" s="15">
        <v>-15</v>
      </c>
      <c r="AE24" s="47">
        <f t="shared" si="3"/>
        <v>0</v>
      </c>
      <c r="AG24" s="36" t="s">
        <v>15</v>
      </c>
      <c r="AH24" s="39">
        <f>(SUMIFS($B$5:$B$124, $B$5:$B$124,"&gt;=1100",$B$5:$B$124, "&lt;1200"))</f>
        <v>0</v>
      </c>
      <c r="AI24" s="15">
        <v>-15</v>
      </c>
      <c r="AJ24" s="47">
        <f t="shared" si="4"/>
        <v>0</v>
      </c>
      <c r="AL24" s="36" t="s">
        <v>15</v>
      </c>
      <c r="AM24" s="39">
        <f>(SUMIFS($B$5:$B$124, $B$5:$B$124,"&gt;=1100",$B$5:$B$124, "&lt;1200"))</f>
        <v>0</v>
      </c>
      <c r="AN24" s="15">
        <v>-15</v>
      </c>
      <c r="AO24" s="47">
        <f t="shared" si="5"/>
        <v>0</v>
      </c>
      <c r="BZ24" s="1"/>
    </row>
    <row r="25" spans="1:78" ht="14.5" customHeight="1" x14ac:dyDescent="0.35">
      <c r="A25" s="4">
        <v>21</v>
      </c>
      <c r="B25" s="4">
        <v>869</v>
      </c>
      <c r="C25" s="4" t="s">
        <v>5</v>
      </c>
      <c r="D25" s="4">
        <v>3</v>
      </c>
      <c r="E25" s="4" t="s">
        <v>32</v>
      </c>
      <c r="F25" s="4" t="s">
        <v>32</v>
      </c>
      <c r="G25" s="4" t="s">
        <v>32</v>
      </c>
      <c r="H25" s="4" t="s">
        <v>32</v>
      </c>
      <c r="I25" s="6"/>
      <c r="J25" s="36" t="s">
        <v>19</v>
      </c>
      <c r="K25" s="40">
        <f>COUNTIF(B5:B124, "&gt;=1200")</f>
        <v>0</v>
      </c>
      <c r="L25" s="6"/>
      <c r="M25" s="36" t="s">
        <v>19</v>
      </c>
      <c r="N25" s="39">
        <f>(SUMIF($B$5:$B$124,"&gt;=1200", $B$5:$B$124))</f>
        <v>0</v>
      </c>
      <c r="O25" s="13">
        <v>-15</v>
      </c>
      <c r="P25" s="42">
        <f t="shared" si="0"/>
        <v>0</v>
      </c>
      <c r="Q25" s="38"/>
      <c r="R25" s="36" t="s">
        <v>19</v>
      </c>
      <c r="S25" s="39">
        <f>(SUMIF($B$5:$B$124,"&gt;=1200", $B$5:$B$124))</f>
        <v>0</v>
      </c>
      <c r="T25" s="13">
        <v>-15</v>
      </c>
      <c r="U25" s="42">
        <f t="shared" si="1"/>
        <v>0</v>
      </c>
      <c r="W25" s="36" t="s">
        <v>19</v>
      </c>
      <c r="X25" s="39">
        <f>(SUMIF($B$5:$B$124,"&gt;=1200", $B$5:$B$124))</f>
        <v>0</v>
      </c>
      <c r="Y25" s="13">
        <v>-20</v>
      </c>
      <c r="Z25" s="42">
        <f t="shared" si="2"/>
        <v>0</v>
      </c>
      <c r="AB25" s="36" t="s">
        <v>19</v>
      </c>
      <c r="AC25" s="39">
        <f>(SUMIF($B$5:$B$124,"&gt;=1200", $B$5:$B$124))</f>
        <v>0</v>
      </c>
      <c r="AD25" s="13">
        <v>-20</v>
      </c>
      <c r="AE25" s="42">
        <f t="shared" si="3"/>
        <v>0</v>
      </c>
      <c r="AG25" s="36" t="s">
        <v>19</v>
      </c>
      <c r="AH25" s="39">
        <f>(SUMIF($B$5:$B$124,"&gt;=1200", $B$5:$B$124))</f>
        <v>0</v>
      </c>
      <c r="AI25" s="13">
        <v>-20</v>
      </c>
      <c r="AJ25" s="42">
        <f t="shared" si="4"/>
        <v>0</v>
      </c>
      <c r="AL25" s="36" t="s">
        <v>19</v>
      </c>
      <c r="AM25" s="39">
        <f>(SUMIF($B$5:$B$124,"&gt;=1200", $B$5:$B$124))</f>
        <v>0</v>
      </c>
      <c r="AN25" s="13">
        <v>-15</v>
      </c>
      <c r="AO25" s="42">
        <f t="shared" si="5"/>
        <v>0</v>
      </c>
      <c r="BZ25" s="1"/>
    </row>
    <row r="26" spans="1:78" ht="15.5" customHeight="1" x14ac:dyDescent="0.35">
      <c r="A26" s="4">
        <v>22</v>
      </c>
      <c r="B26" s="4">
        <v>859</v>
      </c>
      <c r="C26" s="4" t="s">
        <v>5</v>
      </c>
      <c r="D26" s="4">
        <v>3</v>
      </c>
      <c r="E26" s="4" t="s">
        <v>32</v>
      </c>
      <c r="F26" s="4" t="s">
        <v>32</v>
      </c>
      <c r="G26" s="4" t="s">
        <v>32</v>
      </c>
      <c r="H26" s="4" t="s">
        <v>32</v>
      </c>
      <c r="I26" s="6"/>
      <c r="J26" s="84" t="s">
        <v>1</v>
      </c>
      <c r="K26" s="84" t="s">
        <v>60</v>
      </c>
      <c r="L26" s="38"/>
      <c r="M26" s="98" t="s">
        <v>1</v>
      </c>
      <c r="N26" s="84" t="s">
        <v>36</v>
      </c>
      <c r="O26" s="85" t="s">
        <v>34</v>
      </c>
      <c r="P26" s="84" t="s">
        <v>35</v>
      </c>
      <c r="Q26" s="38"/>
      <c r="R26" s="98" t="s">
        <v>1</v>
      </c>
      <c r="S26" s="84" t="s">
        <v>36</v>
      </c>
      <c r="T26" s="85" t="s">
        <v>34</v>
      </c>
      <c r="U26" s="84" t="s">
        <v>35</v>
      </c>
      <c r="W26" s="99" t="s">
        <v>1</v>
      </c>
      <c r="X26" s="84" t="s">
        <v>36</v>
      </c>
      <c r="Y26" s="90" t="s">
        <v>34</v>
      </c>
      <c r="Z26" s="82" t="s">
        <v>35</v>
      </c>
      <c r="AB26" s="99" t="s">
        <v>1</v>
      </c>
      <c r="AC26" s="84" t="s">
        <v>36</v>
      </c>
      <c r="AD26" s="90" t="s">
        <v>34</v>
      </c>
      <c r="AE26" s="82" t="s">
        <v>35</v>
      </c>
      <c r="AG26" s="99" t="s">
        <v>1</v>
      </c>
      <c r="AH26" s="84" t="s">
        <v>36</v>
      </c>
      <c r="AI26" s="90" t="s">
        <v>34</v>
      </c>
      <c r="AJ26" s="82" t="s">
        <v>35</v>
      </c>
      <c r="AL26" s="98" t="s">
        <v>1</v>
      </c>
      <c r="AM26" s="84" t="s">
        <v>36</v>
      </c>
      <c r="AN26" s="85" t="s">
        <v>34</v>
      </c>
      <c r="AO26" s="84" t="s">
        <v>35</v>
      </c>
      <c r="BZ26" s="1"/>
    </row>
    <row r="27" spans="1:78" ht="15.5" customHeight="1" x14ac:dyDescent="0.35">
      <c r="A27" s="4">
        <v>23</v>
      </c>
      <c r="B27" s="4">
        <v>902</v>
      </c>
      <c r="C27" s="4" t="s">
        <v>5</v>
      </c>
      <c r="D27" s="4">
        <v>3</v>
      </c>
      <c r="E27" s="4" t="s">
        <v>32</v>
      </c>
      <c r="F27" s="4" t="s">
        <v>32</v>
      </c>
      <c r="G27" s="4" t="s">
        <v>32</v>
      </c>
      <c r="H27" s="4" t="s">
        <v>32</v>
      </c>
      <c r="I27" s="6"/>
      <c r="J27" s="84"/>
      <c r="K27" s="84"/>
      <c r="L27" s="6"/>
      <c r="M27" s="98"/>
      <c r="N27" s="84"/>
      <c r="O27" s="85"/>
      <c r="P27" s="84"/>
      <c r="Q27" s="33"/>
      <c r="R27" s="98"/>
      <c r="S27" s="84"/>
      <c r="T27" s="85"/>
      <c r="U27" s="84"/>
      <c r="W27" s="100"/>
      <c r="X27" s="84"/>
      <c r="Y27" s="91"/>
      <c r="Z27" s="83"/>
      <c r="AB27" s="100"/>
      <c r="AC27" s="84"/>
      <c r="AD27" s="91"/>
      <c r="AE27" s="83"/>
      <c r="AG27" s="100"/>
      <c r="AH27" s="84"/>
      <c r="AI27" s="91"/>
      <c r="AJ27" s="83"/>
      <c r="AL27" s="98"/>
      <c r="AM27" s="84"/>
      <c r="AN27" s="85"/>
      <c r="AO27" s="84"/>
      <c r="BZ27" s="1"/>
    </row>
    <row r="28" spans="1:78" x14ac:dyDescent="0.35">
      <c r="A28" s="4">
        <v>24</v>
      </c>
      <c r="B28" s="4">
        <v>989</v>
      </c>
      <c r="C28" s="4" t="s">
        <v>5</v>
      </c>
      <c r="D28" s="4">
        <v>2</v>
      </c>
      <c r="E28" s="4" t="s">
        <v>32</v>
      </c>
      <c r="F28" s="4" t="s">
        <v>32</v>
      </c>
      <c r="G28" s="4" t="s">
        <v>32</v>
      </c>
      <c r="H28" s="4" t="s">
        <v>32</v>
      </c>
      <c r="I28" s="6"/>
      <c r="J28" s="36" t="s">
        <v>4</v>
      </c>
      <c r="K28" s="40">
        <f>COUNTIF(C5:C124,J28)</f>
        <v>1</v>
      </c>
      <c r="L28" s="110">
        <f>((K28+K29)/K8)*100</f>
        <v>74.285714285714292</v>
      </c>
      <c r="M28" s="94" t="s">
        <v>40</v>
      </c>
      <c r="N28" s="101">
        <f>IFERROR(AVERAGEIFS(B5:B124,C5:C124,"*i*")*(K28+K29), AVERAGE(B5:B124))</f>
        <v>23284</v>
      </c>
      <c r="O28" s="104">
        <f>K5</f>
        <v>35.31</v>
      </c>
      <c r="P28" s="103">
        <f>((((((((K28+K29)/(K8-K9))*100)-70)/100)*(K8-K9))*(N28/(K28+K29))*O28/100))</f>
        <v>474.32194615384685</v>
      </c>
      <c r="Q28" s="6"/>
      <c r="R28" s="94" t="s">
        <v>80</v>
      </c>
      <c r="S28" s="101">
        <f>IFERROR(AVERAGEIFS(B5:B124,C5:C124,"*i*")*(K28+K29), AVERAGE(B5:B124))</f>
        <v>23284</v>
      </c>
      <c r="T28" s="104">
        <f>K5</f>
        <v>35.31</v>
      </c>
      <c r="U28" s="103">
        <f>((((((((K28+K29)/(K8-K9))*100)-80)/100)*(K8-K9))*(S28/(K28+K29))*T28/100))</f>
        <v>-632.42926153846088</v>
      </c>
      <c r="W28" s="36" t="s">
        <v>4</v>
      </c>
      <c r="X28" s="39">
        <f>(SUMIF(C5:C124,"Prime", B5:B124))</f>
        <v>841</v>
      </c>
      <c r="Y28" s="16">
        <v>10</v>
      </c>
      <c r="Z28" s="49">
        <f t="shared" ref="Z28:Z34" si="6">X28*Y28/100</f>
        <v>84.1</v>
      </c>
      <c r="AB28" s="36" t="s">
        <v>4</v>
      </c>
      <c r="AC28" s="39">
        <f>(SUMIF(C5:C124,"Prime", B5:B124))</f>
        <v>841</v>
      </c>
      <c r="AD28" s="16">
        <f>K3</f>
        <v>16.82</v>
      </c>
      <c r="AE28" s="49">
        <f t="shared" ref="AE28:AE31" si="7">AC28*AD28/100</f>
        <v>141.4562</v>
      </c>
      <c r="AG28" s="36" t="s">
        <v>4</v>
      </c>
      <c r="AH28" s="39">
        <f>(SUMIF(C5:C124,"Prime", B5:B124))</f>
        <v>841</v>
      </c>
      <c r="AI28" s="16">
        <f>K3</f>
        <v>16.82</v>
      </c>
      <c r="AJ28" s="49">
        <f t="shared" ref="AJ28:AJ31" si="8">AH28*AI28/100</f>
        <v>141.4562</v>
      </c>
      <c r="AL28" s="94" t="s">
        <v>80</v>
      </c>
      <c r="AM28" s="101">
        <f>IFERROR(AVERAGEIFS(B5:B124,C5:C124,"*i*")*(K28+K29), AVERAGE(B5:B124))</f>
        <v>23284</v>
      </c>
      <c r="AN28" s="104">
        <f>K5</f>
        <v>35.31</v>
      </c>
      <c r="AO28" s="103">
        <f>((((((((K28+K29)/(K8-K9))*100)-80)/100)*(K8-K9))*(AM28/(K28+K29))*AN28/100))</f>
        <v>-632.42926153846088</v>
      </c>
      <c r="BZ28" s="1"/>
    </row>
    <row r="29" spans="1:78" x14ac:dyDescent="0.35">
      <c r="A29" s="4">
        <v>25</v>
      </c>
      <c r="B29" s="4">
        <v>829</v>
      </c>
      <c r="C29" s="4" t="s">
        <v>5</v>
      </c>
      <c r="D29" s="4">
        <v>3</v>
      </c>
      <c r="E29" s="4" t="s">
        <v>32</v>
      </c>
      <c r="F29" s="4" t="s">
        <v>32</v>
      </c>
      <c r="G29" s="4" t="s">
        <v>32</v>
      </c>
      <c r="H29" s="4" t="s">
        <v>32</v>
      </c>
      <c r="I29" s="6"/>
      <c r="J29" s="36" t="s">
        <v>5</v>
      </c>
      <c r="K29" s="40">
        <f>COUNTIF(C5:C124,J29)</f>
        <v>25</v>
      </c>
      <c r="L29" s="110"/>
      <c r="M29" s="94"/>
      <c r="N29" s="102"/>
      <c r="O29" s="104"/>
      <c r="P29" s="103"/>
      <c r="Q29" s="6"/>
      <c r="R29" s="94"/>
      <c r="S29" s="102"/>
      <c r="T29" s="104"/>
      <c r="U29" s="103"/>
      <c r="V29" s="33"/>
      <c r="W29" s="36" t="s">
        <v>5</v>
      </c>
      <c r="X29" s="39">
        <f>(SUMIF(C5:C124,"Choice", B5:B124))</f>
        <v>22443</v>
      </c>
      <c r="Y29" s="13">
        <v>0</v>
      </c>
      <c r="Z29" s="49">
        <f t="shared" si="6"/>
        <v>0</v>
      </c>
      <c r="AB29" s="36" t="s">
        <v>5</v>
      </c>
      <c r="AC29" s="39">
        <f>(SUMIF(C5:C124,"Choice", B5:B124))</f>
        <v>22443</v>
      </c>
      <c r="AD29" s="13">
        <v>0</v>
      </c>
      <c r="AE29" s="49">
        <f t="shared" si="7"/>
        <v>0</v>
      </c>
      <c r="AG29" s="36" t="s">
        <v>5</v>
      </c>
      <c r="AH29" s="39">
        <f>(SUMIF(C5:C124,"Choice", B5:B124))</f>
        <v>22443</v>
      </c>
      <c r="AI29" s="13">
        <v>0</v>
      </c>
      <c r="AJ29" s="49">
        <f t="shared" si="8"/>
        <v>0</v>
      </c>
      <c r="AL29" s="94"/>
      <c r="AM29" s="102"/>
      <c r="AN29" s="104"/>
      <c r="AO29" s="103"/>
      <c r="BZ29" s="1"/>
    </row>
    <row r="30" spans="1:78" x14ac:dyDescent="0.35">
      <c r="A30" s="4">
        <v>26</v>
      </c>
      <c r="B30" s="4">
        <v>841</v>
      </c>
      <c r="C30" s="4" t="s">
        <v>5</v>
      </c>
      <c r="D30" s="4">
        <v>3</v>
      </c>
      <c r="E30" s="4" t="s">
        <v>32</v>
      </c>
      <c r="F30" s="4" t="s">
        <v>32</v>
      </c>
      <c r="G30" s="4" t="s">
        <v>32</v>
      </c>
      <c r="H30" s="4" t="s">
        <v>32</v>
      </c>
      <c r="I30" s="6"/>
      <c r="J30" s="36" t="s">
        <v>6</v>
      </c>
      <c r="K30" s="40">
        <f>COUNTIF(C5:C125,J30)</f>
        <v>9</v>
      </c>
      <c r="L30" s="6"/>
      <c r="M30" s="50"/>
      <c r="N30" s="51"/>
      <c r="O30" s="52"/>
      <c r="P30" s="53"/>
      <c r="Q30" s="6"/>
      <c r="R30" s="50"/>
      <c r="S30" s="51"/>
      <c r="T30" s="52"/>
      <c r="U30" s="53"/>
      <c r="V30" s="33"/>
      <c r="W30" s="36" t="s">
        <v>6</v>
      </c>
      <c r="X30" s="39">
        <f>(SUMIF(C5:C124,"Select", B5:B124))</f>
        <v>7235</v>
      </c>
      <c r="Y30" s="13">
        <f>-(K5+4)</f>
        <v>-39.31</v>
      </c>
      <c r="Z30" s="42">
        <f t="shared" si="6"/>
        <v>-2844.0785000000005</v>
      </c>
      <c r="AB30" s="36" t="s">
        <v>6</v>
      </c>
      <c r="AC30" s="39">
        <f>(SUMIF(C5:C124,"Select", B5:B124))</f>
        <v>7235</v>
      </c>
      <c r="AD30" s="13">
        <f>-(K5)</f>
        <v>-35.31</v>
      </c>
      <c r="AE30" s="42">
        <f t="shared" si="7"/>
        <v>-2554.6785</v>
      </c>
      <c r="AG30" s="36" t="s">
        <v>6</v>
      </c>
      <c r="AH30" s="39">
        <f>(SUMIF(C5:C124,"Select", B5:B124))</f>
        <v>7235</v>
      </c>
      <c r="AI30" s="13">
        <f>-(K5)</f>
        <v>-35.31</v>
      </c>
      <c r="AJ30" s="42">
        <f t="shared" si="8"/>
        <v>-2554.6785</v>
      </c>
      <c r="AL30" s="50"/>
      <c r="AM30" s="51"/>
      <c r="AN30" s="52"/>
      <c r="AO30" s="53"/>
      <c r="BZ30" s="1"/>
    </row>
    <row r="31" spans="1:78" x14ac:dyDescent="0.35">
      <c r="A31" s="4">
        <v>27</v>
      </c>
      <c r="B31" s="4">
        <v>885</v>
      </c>
      <c r="C31" s="4" t="s">
        <v>6</v>
      </c>
      <c r="D31" s="4">
        <v>2</v>
      </c>
      <c r="E31" s="4" t="s">
        <v>32</v>
      </c>
      <c r="F31" s="4" t="s">
        <v>32</v>
      </c>
      <c r="G31" s="4" t="s">
        <v>32</v>
      </c>
      <c r="H31" s="4" t="s">
        <v>32</v>
      </c>
      <c r="I31" s="6"/>
      <c r="J31" s="36" t="s">
        <v>7</v>
      </c>
      <c r="K31" s="40">
        <f>COUNTIF(C5:C124,J31)</f>
        <v>0</v>
      </c>
      <c r="L31" s="6"/>
      <c r="M31" s="36" t="s">
        <v>7</v>
      </c>
      <c r="N31" s="39">
        <f>( SUMIF(C5:C124,"Standard", B5:B124))</f>
        <v>0</v>
      </c>
      <c r="O31" s="13">
        <f>-(N12-N14)</f>
        <v>-3.2786885245901658</v>
      </c>
      <c r="P31" s="47">
        <f>N31*O31/100</f>
        <v>0</v>
      </c>
      <c r="Q31" s="6"/>
      <c r="R31" s="36" t="s">
        <v>7</v>
      </c>
      <c r="S31" s="39">
        <f>(SUMIF(C5:C124,"Standard", B5:B124))</f>
        <v>0</v>
      </c>
      <c r="T31" s="13">
        <f>-(S12-S14)</f>
        <v>-3.2786885245901658</v>
      </c>
      <c r="U31" s="47">
        <f>S31*T31/100</f>
        <v>0</v>
      </c>
      <c r="W31" s="36" t="s">
        <v>7</v>
      </c>
      <c r="X31" s="39">
        <f>(SUMIF(C5:C124,"Standard", B5:B124))</f>
        <v>0</v>
      </c>
      <c r="Y31" s="13">
        <v>-35</v>
      </c>
      <c r="Z31" s="42">
        <f t="shared" si="6"/>
        <v>0</v>
      </c>
      <c r="AB31" s="36" t="s">
        <v>7</v>
      </c>
      <c r="AC31" s="39">
        <f>(SUMIF(C5:C124,"Standard", B5:B124))</f>
        <v>0</v>
      </c>
      <c r="AD31" s="13">
        <v>-35</v>
      </c>
      <c r="AE31" s="42">
        <f t="shared" si="7"/>
        <v>0</v>
      </c>
      <c r="AG31" s="36" t="s">
        <v>7</v>
      </c>
      <c r="AH31" s="39">
        <f>(SUMIF(C5:C124,"Standard", B5:B124))</f>
        <v>0</v>
      </c>
      <c r="AI31" s="13">
        <v>-35</v>
      </c>
      <c r="AJ31" s="42">
        <f t="shared" si="8"/>
        <v>0</v>
      </c>
      <c r="AL31" s="36" t="s">
        <v>7</v>
      </c>
      <c r="AM31" s="39">
        <f>(SUMIF(C5:C124,"Standard", B5:B124))</f>
        <v>0</v>
      </c>
      <c r="AN31" s="13">
        <f>-(AM12-AM14)</f>
        <v>-22.047244094488178</v>
      </c>
      <c r="AO31" s="47">
        <f>AM31*AN31/100</f>
        <v>0</v>
      </c>
      <c r="BZ31" s="1"/>
    </row>
    <row r="32" spans="1:78" ht="16" thickBot="1" x14ac:dyDescent="0.4">
      <c r="A32" s="4">
        <v>28</v>
      </c>
      <c r="B32" s="4">
        <v>697</v>
      </c>
      <c r="C32" s="4" t="s">
        <v>6</v>
      </c>
      <c r="D32" s="4">
        <v>2</v>
      </c>
      <c r="E32" s="4" t="s">
        <v>32</v>
      </c>
      <c r="F32" s="4" t="s">
        <v>32</v>
      </c>
      <c r="G32" s="4" t="s">
        <v>32</v>
      </c>
      <c r="H32" s="4" t="s">
        <v>32</v>
      </c>
      <c r="I32" s="6"/>
      <c r="J32" s="54" t="s">
        <v>33</v>
      </c>
      <c r="K32" s="55">
        <f>COUNTIF(C5:C124,J32)</f>
        <v>0</v>
      </c>
      <c r="L32" s="6"/>
      <c r="M32" s="36" t="s">
        <v>33</v>
      </c>
      <c r="N32" s="39">
        <f>(SUMIF(C5:C124,"No Roll", B5:B124))</f>
        <v>0</v>
      </c>
      <c r="O32" s="13">
        <f>-(N12-N14)</f>
        <v>-3.2786885245901658</v>
      </c>
      <c r="P32" s="47">
        <f>N32*O32/100</f>
        <v>0</v>
      </c>
      <c r="Q32" s="6"/>
      <c r="R32" s="36" t="s">
        <v>33</v>
      </c>
      <c r="S32" s="39">
        <f>(SUMIF(C5:C124,"No Roll", B5:B124))</f>
        <v>0</v>
      </c>
      <c r="T32" s="13">
        <f>-(S12-S14)</f>
        <v>-3.2786885245901658</v>
      </c>
      <c r="U32" s="47">
        <f>S32*T32/100</f>
        <v>0</v>
      </c>
      <c r="W32" s="36" t="s">
        <v>33</v>
      </c>
      <c r="X32" s="39">
        <f>(SUMIF(C5:C124,"No Roll", B5:B124))</f>
        <v>0</v>
      </c>
      <c r="Y32" s="13">
        <v>-35</v>
      </c>
      <c r="Z32" s="42">
        <f>X32*Y32/100</f>
        <v>0</v>
      </c>
      <c r="AB32" s="36" t="s">
        <v>33</v>
      </c>
      <c r="AC32" s="39">
        <f>(SUMIF(C5:C124,"No Roll", B5:B124))</f>
        <v>0</v>
      </c>
      <c r="AD32" s="13">
        <v>-35</v>
      </c>
      <c r="AE32" s="42">
        <f>AC32*AD32/100</f>
        <v>0</v>
      </c>
      <c r="AG32" s="36" t="s">
        <v>33</v>
      </c>
      <c r="AH32" s="39">
        <f>(SUMIF(C5:C124,"No Roll", B5:B124))</f>
        <v>0</v>
      </c>
      <c r="AI32" s="13">
        <v>-35</v>
      </c>
      <c r="AJ32" s="42">
        <f>AH32*AI32/100</f>
        <v>0</v>
      </c>
      <c r="AL32" s="36" t="s">
        <v>33</v>
      </c>
      <c r="AM32" s="39">
        <f>(SUMIF(C5:C124,"No Roll", B5:B124))</f>
        <v>0</v>
      </c>
      <c r="AN32" s="13">
        <f>-(AM12-AM14)</f>
        <v>-22.047244094488178</v>
      </c>
      <c r="AO32" s="47">
        <f>AM32*AN32/100</f>
        <v>0</v>
      </c>
      <c r="BZ32" s="1"/>
    </row>
    <row r="33" spans="1:78" x14ac:dyDescent="0.35">
      <c r="A33" s="4">
        <v>29</v>
      </c>
      <c r="B33" s="4">
        <v>909</v>
      </c>
      <c r="C33" s="4" t="s">
        <v>5</v>
      </c>
      <c r="D33" s="4">
        <v>3</v>
      </c>
      <c r="E33" s="4" t="s">
        <v>32</v>
      </c>
      <c r="F33" s="4" t="s">
        <v>32</v>
      </c>
      <c r="G33" s="4" t="s">
        <v>32</v>
      </c>
      <c r="H33" s="4" t="s">
        <v>32</v>
      </c>
      <c r="I33" s="6"/>
      <c r="J33" s="56" t="s">
        <v>31</v>
      </c>
      <c r="K33" s="57">
        <f>COUNTIF(E5:E124,"Yes")</f>
        <v>0</v>
      </c>
      <c r="L33" s="6"/>
      <c r="M33" s="36" t="s">
        <v>31</v>
      </c>
      <c r="N33" s="58">
        <f>(SUMIF(E5:E124,"Yes", B5:B124))</f>
        <v>0</v>
      </c>
      <c r="O33" s="15">
        <v>-20</v>
      </c>
      <c r="P33" s="47">
        <f t="shared" ref="P33" si="9">N33*O33/100</f>
        <v>0</v>
      </c>
      <c r="Q33" s="6"/>
      <c r="R33" s="36" t="s">
        <v>31</v>
      </c>
      <c r="S33" s="58">
        <f>(SUMIF(E5:E124,"Yes", B5:B124))</f>
        <v>0</v>
      </c>
      <c r="T33" s="15">
        <v>-20</v>
      </c>
      <c r="U33" s="47">
        <f t="shared" ref="U33" si="10">S33*T33/100</f>
        <v>0</v>
      </c>
      <c r="W33" s="36" t="s">
        <v>31</v>
      </c>
      <c r="X33" s="39">
        <f>(SUMIF(E5:E124,"Yes", B5:B124))</f>
        <v>0</v>
      </c>
      <c r="Y33" s="15">
        <v>-35</v>
      </c>
      <c r="Z33" s="47">
        <f t="shared" si="6"/>
        <v>0</v>
      </c>
      <c r="AB33" s="36" t="s">
        <v>31</v>
      </c>
      <c r="AC33" s="39">
        <f>(SUMIF(E5:E124,"Yes", B5:B124))</f>
        <v>0</v>
      </c>
      <c r="AD33" s="15">
        <v>-35</v>
      </c>
      <c r="AE33" s="47">
        <f t="shared" ref="AE33:AE34" si="11">AC33*AD33/100</f>
        <v>0</v>
      </c>
      <c r="AG33" s="36" t="s">
        <v>31</v>
      </c>
      <c r="AH33" s="39">
        <f>(SUMIF(E5:E124,"Yes", B5:B124))</f>
        <v>0</v>
      </c>
      <c r="AI33" s="15">
        <v>-35</v>
      </c>
      <c r="AJ33" s="47">
        <f t="shared" ref="AJ33:AJ34" si="12">AH33*AI33/100</f>
        <v>0</v>
      </c>
      <c r="AL33" s="36" t="s">
        <v>31</v>
      </c>
      <c r="AM33" s="58">
        <f>(SUMIF(E5:E124,"Yes", B5:B124))</f>
        <v>0</v>
      </c>
      <c r="AN33" s="15">
        <v>-20</v>
      </c>
      <c r="AO33" s="47">
        <f t="shared" ref="AO33" si="13">AM33*AN33/100</f>
        <v>0</v>
      </c>
      <c r="BZ33" s="1"/>
    </row>
    <row r="34" spans="1:78" x14ac:dyDescent="0.35">
      <c r="A34" s="4">
        <v>30</v>
      </c>
      <c r="B34" s="4">
        <v>890</v>
      </c>
      <c r="C34" s="4" t="s">
        <v>5</v>
      </c>
      <c r="D34" s="4">
        <v>3</v>
      </c>
      <c r="E34" s="4" t="s">
        <v>32</v>
      </c>
      <c r="F34" s="4" t="s">
        <v>32</v>
      </c>
      <c r="G34" s="4" t="s">
        <v>32</v>
      </c>
      <c r="H34" s="4" t="s">
        <v>32</v>
      </c>
      <c r="I34" s="6"/>
      <c r="J34" s="36" t="s">
        <v>8</v>
      </c>
      <c r="K34" s="40">
        <f>COUNTIF(F5:F124,"Yes")</f>
        <v>0</v>
      </c>
      <c r="L34" s="6"/>
      <c r="M34" s="59"/>
      <c r="N34" s="60"/>
      <c r="O34" s="61"/>
      <c r="P34" s="62"/>
      <c r="Q34" s="6"/>
      <c r="R34" s="59"/>
      <c r="S34" s="60"/>
      <c r="T34" s="61"/>
      <c r="U34" s="62"/>
      <c r="W34" s="36" t="s">
        <v>8</v>
      </c>
      <c r="X34" s="39">
        <f>(SUMIF(F5:F124,"Yes", B5:B124))</f>
        <v>0</v>
      </c>
      <c r="Y34" s="13">
        <v>-20</v>
      </c>
      <c r="Z34" s="42">
        <f t="shared" si="6"/>
        <v>0</v>
      </c>
      <c r="AB34" s="36" t="s">
        <v>8</v>
      </c>
      <c r="AC34" s="39">
        <f ca="1">(SUMIF(F5:F125,"Yes", B5:B124))</f>
        <v>0</v>
      </c>
      <c r="AD34" s="13">
        <v>-20</v>
      </c>
      <c r="AE34" s="42">
        <f t="shared" ca="1" si="11"/>
        <v>0</v>
      </c>
      <c r="AG34" s="36" t="s">
        <v>8</v>
      </c>
      <c r="AH34" s="39">
        <f>(SUMIF(F5:F124,"Yes", B5:B124))</f>
        <v>0</v>
      </c>
      <c r="AI34" s="13">
        <v>-20</v>
      </c>
      <c r="AJ34" s="42">
        <f t="shared" si="12"/>
        <v>0</v>
      </c>
      <c r="AL34" s="59"/>
      <c r="AM34" s="60"/>
      <c r="AN34" s="61"/>
      <c r="AO34" s="62"/>
      <c r="BZ34" s="1"/>
    </row>
    <row r="35" spans="1:78" ht="14.5" customHeight="1" x14ac:dyDescent="0.35">
      <c r="A35" s="4">
        <v>31</v>
      </c>
      <c r="B35" s="4">
        <v>916</v>
      </c>
      <c r="C35" s="4" t="s">
        <v>6</v>
      </c>
      <c r="D35" s="4">
        <v>2</v>
      </c>
      <c r="E35" s="4" t="s">
        <v>32</v>
      </c>
      <c r="F35" s="4" t="s">
        <v>32</v>
      </c>
      <c r="G35" s="4" t="s">
        <v>32</v>
      </c>
      <c r="H35" s="4" t="s">
        <v>32</v>
      </c>
      <c r="I35" s="6"/>
      <c r="J35" s="84" t="s">
        <v>2</v>
      </c>
      <c r="K35" s="84" t="s">
        <v>60</v>
      </c>
      <c r="L35" s="38"/>
      <c r="M35" s="98" t="s">
        <v>2</v>
      </c>
      <c r="N35" s="84" t="s">
        <v>36</v>
      </c>
      <c r="O35" s="85" t="s">
        <v>50</v>
      </c>
      <c r="P35" s="84" t="s">
        <v>35</v>
      </c>
      <c r="Q35" s="38"/>
      <c r="R35" s="98" t="s">
        <v>2</v>
      </c>
      <c r="S35" s="84" t="s">
        <v>36</v>
      </c>
      <c r="T35" s="85" t="s">
        <v>50</v>
      </c>
      <c r="U35" s="84" t="s">
        <v>35</v>
      </c>
      <c r="W35" s="99" t="s">
        <v>2</v>
      </c>
      <c r="X35" s="84" t="s">
        <v>36</v>
      </c>
      <c r="Y35" s="90" t="s">
        <v>50</v>
      </c>
      <c r="Z35" s="82" t="s">
        <v>35</v>
      </c>
      <c r="AB35" s="99" t="s">
        <v>2</v>
      </c>
      <c r="AC35" s="84" t="s">
        <v>36</v>
      </c>
      <c r="AD35" s="90" t="s">
        <v>50</v>
      </c>
      <c r="AE35" s="82" t="s">
        <v>35</v>
      </c>
      <c r="AG35" s="99" t="s">
        <v>2</v>
      </c>
      <c r="AH35" s="84" t="s">
        <v>36</v>
      </c>
      <c r="AI35" s="90" t="s">
        <v>50</v>
      </c>
      <c r="AJ35" s="82" t="s">
        <v>35</v>
      </c>
      <c r="AL35" s="98" t="s">
        <v>2</v>
      </c>
      <c r="AM35" s="84" t="s">
        <v>36</v>
      </c>
      <c r="AN35" s="85" t="s">
        <v>50</v>
      </c>
      <c r="AO35" s="84" t="s">
        <v>35</v>
      </c>
      <c r="BZ35" s="1"/>
    </row>
    <row r="36" spans="1:78" ht="15.5" customHeight="1" x14ac:dyDescent="0.35">
      <c r="A36" s="4">
        <v>32</v>
      </c>
      <c r="B36" s="4">
        <v>925</v>
      </c>
      <c r="C36" s="4" t="s">
        <v>5</v>
      </c>
      <c r="D36" s="4">
        <v>3</v>
      </c>
      <c r="E36" s="4" t="s">
        <v>32</v>
      </c>
      <c r="F36" s="4" t="s">
        <v>32</v>
      </c>
      <c r="G36" s="4" t="s">
        <v>32</v>
      </c>
      <c r="H36" s="4" t="s">
        <v>32</v>
      </c>
      <c r="I36" s="6"/>
      <c r="J36" s="84"/>
      <c r="K36" s="84"/>
      <c r="L36" s="6"/>
      <c r="M36" s="98"/>
      <c r="N36" s="84"/>
      <c r="O36" s="85"/>
      <c r="P36" s="84"/>
      <c r="Q36" s="38"/>
      <c r="R36" s="98"/>
      <c r="S36" s="84"/>
      <c r="T36" s="85"/>
      <c r="U36" s="84"/>
      <c r="W36" s="100"/>
      <c r="X36" s="84"/>
      <c r="Y36" s="91"/>
      <c r="Z36" s="83"/>
      <c r="AB36" s="100"/>
      <c r="AC36" s="84"/>
      <c r="AD36" s="91"/>
      <c r="AE36" s="83"/>
      <c r="AG36" s="100"/>
      <c r="AH36" s="84"/>
      <c r="AI36" s="91"/>
      <c r="AJ36" s="83"/>
      <c r="AL36" s="98"/>
      <c r="AM36" s="84"/>
      <c r="AN36" s="85"/>
      <c r="AO36" s="84"/>
      <c r="BZ36" s="1"/>
    </row>
    <row r="37" spans="1:78" x14ac:dyDescent="0.35">
      <c r="A37" s="4">
        <v>33</v>
      </c>
      <c r="B37" s="4">
        <v>899</v>
      </c>
      <c r="C37" s="4" t="s">
        <v>5</v>
      </c>
      <c r="D37" s="4">
        <v>3</v>
      </c>
      <c r="E37" s="4" t="s">
        <v>32</v>
      </c>
      <c r="F37" s="4" t="s">
        <v>32</v>
      </c>
      <c r="G37" s="4" t="s">
        <v>32</v>
      </c>
      <c r="H37" s="4" t="s">
        <v>32</v>
      </c>
      <c r="I37" s="6"/>
      <c r="J37" s="36" t="s">
        <v>61</v>
      </c>
      <c r="K37" s="40">
        <f>COUNTIF($D$4:$D$123,"1")</f>
        <v>0</v>
      </c>
      <c r="L37" s="6"/>
      <c r="M37" s="56" t="s">
        <v>61</v>
      </c>
      <c r="N37" s="39">
        <f>SUMIF($D$5:$D$124,"1",$B$5:$B$124)</f>
        <v>0</v>
      </c>
      <c r="O37" s="16">
        <v>0</v>
      </c>
      <c r="P37" s="42">
        <f t="shared" ref="P37:P39" si="14">(N37*O37/100)</f>
        <v>0</v>
      </c>
      <c r="Q37" s="6"/>
      <c r="R37" s="56" t="s">
        <v>61</v>
      </c>
      <c r="S37" s="39">
        <f>SUMIF($D$5:$D$124,"1",$B$5:$B$124)</f>
        <v>0</v>
      </c>
      <c r="T37" s="16">
        <v>0</v>
      </c>
      <c r="U37" s="42">
        <f t="shared" ref="U37:U39" si="15">(S37*T37/100)</f>
        <v>0</v>
      </c>
      <c r="W37" s="36" t="s">
        <v>61</v>
      </c>
      <c r="X37" s="39">
        <f>SUMIF($D$5:$D$124,"1",$B$5:$B$124)</f>
        <v>0</v>
      </c>
      <c r="Y37" s="16">
        <v>0</v>
      </c>
      <c r="Z37" s="42">
        <f>(X37*Y37/100)</f>
        <v>0</v>
      </c>
      <c r="AB37" s="36" t="s">
        <v>61</v>
      </c>
      <c r="AC37" s="39">
        <f>SUMIF($D$5:$D$124,"1",$B$5:$B$124)</f>
        <v>0</v>
      </c>
      <c r="AD37" s="16">
        <v>0</v>
      </c>
      <c r="AE37" s="42">
        <f>(AC37*AD37/100)</f>
        <v>0</v>
      </c>
      <c r="AG37" s="36" t="s">
        <v>61</v>
      </c>
      <c r="AH37" s="39">
        <f>SUMIF($D$5:$D$124,"1",$B$5:$B$124)</f>
        <v>0</v>
      </c>
      <c r="AI37" s="16">
        <v>0</v>
      </c>
      <c r="AJ37" s="42">
        <f>(AH37*AI37/100)</f>
        <v>0</v>
      </c>
      <c r="AL37" s="56" t="s">
        <v>61</v>
      </c>
      <c r="AM37" s="39">
        <f>SUMIF($D$5:$D$124,"1",$B$5:$B$124)</f>
        <v>0</v>
      </c>
      <c r="AN37" s="16">
        <v>0</v>
      </c>
      <c r="AO37" s="42">
        <f t="shared" ref="AO37:AO39" si="16">(AM37*AN37/100)</f>
        <v>0</v>
      </c>
      <c r="BZ37" s="1"/>
    </row>
    <row r="38" spans="1:78" x14ac:dyDescent="0.35">
      <c r="A38" s="4">
        <v>34</v>
      </c>
      <c r="B38" s="4">
        <v>953</v>
      </c>
      <c r="C38" s="4" t="s">
        <v>5</v>
      </c>
      <c r="D38" s="4">
        <v>3</v>
      </c>
      <c r="E38" s="4" t="s">
        <v>32</v>
      </c>
      <c r="F38" s="4" t="s">
        <v>32</v>
      </c>
      <c r="G38" s="4" t="s">
        <v>32</v>
      </c>
      <c r="H38" s="4" t="s">
        <v>32</v>
      </c>
      <c r="I38" s="6"/>
      <c r="J38" s="36" t="s">
        <v>62</v>
      </c>
      <c r="K38" s="40">
        <f>COUNTIF($D$4:$D$123,"2")</f>
        <v>12</v>
      </c>
      <c r="L38" s="6"/>
      <c r="M38" s="36" t="s">
        <v>62</v>
      </c>
      <c r="N38" s="39">
        <f>SUMIF($D$5:$D$124,"2",$B$5:$B$124)</f>
        <v>10147</v>
      </c>
      <c r="O38" s="13">
        <v>0</v>
      </c>
      <c r="P38" s="42">
        <f t="shared" si="14"/>
        <v>0</v>
      </c>
      <c r="Q38" s="6"/>
      <c r="R38" s="36" t="s">
        <v>62</v>
      </c>
      <c r="S38" s="39">
        <f>SUMIF($D$5:$D$124,"2",$B$5:$B$124)</f>
        <v>10147</v>
      </c>
      <c r="T38" s="13">
        <v>0</v>
      </c>
      <c r="U38" s="42">
        <f t="shared" si="15"/>
        <v>0</v>
      </c>
      <c r="W38" s="36" t="s">
        <v>62</v>
      </c>
      <c r="X38" s="39">
        <f>SUMIF($D$5:$D$124,"2",$B$5:$B$124)</f>
        <v>10147</v>
      </c>
      <c r="Y38" s="13">
        <v>0</v>
      </c>
      <c r="Z38" s="42">
        <f t="shared" ref="Z38:Z39" si="17">(X38*Y38/100)</f>
        <v>0</v>
      </c>
      <c r="AB38" s="36" t="s">
        <v>62</v>
      </c>
      <c r="AC38" s="39">
        <f>SUMIF($D$5:$D$124,"2",$B$5:$B$124)</f>
        <v>10147</v>
      </c>
      <c r="AD38" s="13">
        <v>0</v>
      </c>
      <c r="AE38" s="42">
        <f t="shared" ref="AE38:AE39" si="18">(AC38*AD38/100)</f>
        <v>0</v>
      </c>
      <c r="AG38" s="36" t="s">
        <v>62</v>
      </c>
      <c r="AH38" s="39">
        <f>SUMIF($D$5:$D$124,"2",$B$5:$B$124)</f>
        <v>10147</v>
      </c>
      <c r="AI38" s="13">
        <v>0</v>
      </c>
      <c r="AJ38" s="42">
        <f t="shared" ref="AJ38:AJ39" si="19">(AH38*AI38/100)</f>
        <v>0</v>
      </c>
      <c r="AL38" s="36" t="s">
        <v>62</v>
      </c>
      <c r="AM38" s="39">
        <f>SUMIF($D$5:$D$124,"2",$B$5:$B$124)</f>
        <v>10147</v>
      </c>
      <c r="AN38" s="13">
        <v>0</v>
      </c>
      <c r="AO38" s="42">
        <f t="shared" si="16"/>
        <v>0</v>
      </c>
      <c r="BZ38" s="1"/>
    </row>
    <row r="39" spans="1:78" x14ac:dyDescent="0.35">
      <c r="A39" s="4">
        <v>35</v>
      </c>
      <c r="B39" s="4">
        <v>920</v>
      </c>
      <c r="C39" s="4" t="s">
        <v>5</v>
      </c>
      <c r="D39" s="4">
        <v>2</v>
      </c>
      <c r="E39" s="4" t="s">
        <v>32</v>
      </c>
      <c r="F39" s="4" t="s">
        <v>32</v>
      </c>
      <c r="G39" s="4" t="s">
        <v>32</v>
      </c>
      <c r="H39" s="4" t="s">
        <v>32</v>
      </c>
      <c r="I39" s="6"/>
      <c r="J39" s="36" t="s">
        <v>63</v>
      </c>
      <c r="K39" s="40">
        <f>COUNTIF($D$4:$D$123,"3")</f>
        <v>23</v>
      </c>
      <c r="L39" s="6"/>
      <c r="M39" s="36" t="s">
        <v>63</v>
      </c>
      <c r="N39" s="39">
        <f>SUMIF($D$5:$D$124,"3",$B$5:$B$124)</f>
        <v>20372</v>
      </c>
      <c r="O39" s="13">
        <v>0</v>
      </c>
      <c r="P39" s="42">
        <f t="shared" si="14"/>
        <v>0</v>
      </c>
      <c r="Q39" s="33"/>
      <c r="R39" s="36" t="s">
        <v>63</v>
      </c>
      <c r="S39" s="39">
        <f>SUMIF($D$5:$D$124,"3",$B$5:$B$124)</f>
        <v>20372</v>
      </c>
      <c r="T39" s="13">
        <v>0</v>
      </c>
      <c r="U39" s="42">
        <f t="shared" si="15"/>
        <v>0</v>
      </c>
      <c r="W39" s="36" t="s">
        <v>63</v>
      </c>
      <c r="X39" s="39">
        <f>SUMIF($D$5:$D$124,"3",$B$5:$B$124)</f>
        <v>20372</v>
      </c>
      <c r="Y39" s="13">
        <v>0</v>
      </c>
      <c r="Z39" s="42">
        <f t="shared" si="17"/>
        <v>0</v>
      </c>
      <c r="AB39" s="36" t="s">
        <v>63</v>
      </c>
      <c r="AC39" s="39">
        <f>SUMIF($D$5:$D$124,"3",$B$5:$B$124)</f>
        <v>20372</v>
      </c>
      <c r="AD39" s="13">
        <v>0</v>
      </c>
      <c r="AE39" s="42">
        <f t="shared" si="18"/>
        <v>0</v>
      </c>
      <c r="AG39" s="36" t="s">
        <v>63</v>
      </c>
      <c r="AH39" s="39">
        <f>SUMIF($D$5:$D$124,"3",$B$5:$B$124)</f>
        <v>20372</v>
      </c>
      <c r="AI39" s="13">
        <v>0</v>
      </c>
      <c r="AJ39" s="42">
        <f t="shared" si="19"/>
        <v>0</v>
      </c>
      <c r="AL39" s="36" t="s">
        <v>63</v>
      </c>
      <c r="AM39" s="39">
        <f>SUMIF($D$5:$D$124,"3",$B$5:$B$124)</f>
        <v>20372</v>
      </c>
      <c r="AN39" s="13">
        <v>0</v>
      </c>
      <c r="AO39" s="42">
        <f t="shared" si="16"/>
        <v>0</v>
      </c>
      <c r="BZ39" s="1"/>
    </row>
    <row r="40" spans="1:78" x14ac:dyDescent="0.35">
      <c r="A40" s="4"/>
      <c r="B40" s="4"/>
      <c r="C40" s="4"/>
      <c r="D40" s="4"/>
      <c r="E40" s="4"/>
      <c r="F40" s="4"/>
      <c r="G40" s="4"/>
      <c r="H40" s="4"/>
      <c r="I40" s="6"/>
      <c r="J40" s="36" t="s">
        <v>43</v>
      </c>
      <c r="K40" s="40">
        <f>COUNTIF($D$4:$D$123,"4")</f>
        <v>0</v>
      </c>
      <c r="L40" s="6"/>
      <c r="M40" s="36" t="s">
        <v>41</v>
      </c>
      <c r="N40" s="41" t="str">
        <f>IFERROR((AVERAGEIF($D5:$D124,"4",$B5:$B124)*K40), "0")</f>
        <v>0</v>
      </c>
      <c r="O40" s="15">
        <v>-10</v>
      </c>
      <c r="P40" s="42">
        <f>IF(((K40/(K8-K9))*100)&gt;5,((((((((K40/(K8-K9))*100)-5)/100)*(K8-K9))*(N40/K40))*(O40/100))), 0)</f>
        <v>0</v>
      </c>
      <c r="Q40" s="63"/>
      <c r="R40" s="36" t="s">
        <v>41</v>
      </c>
      <c r="S40" s="41" t="str">
        <f>IFERROR((AVERAGEIF($D5:$D124,"4",$B5:$B124)*K40), "0")</f>
        <v>0</v>
      </c>
      <c r="T40" s="15">
        <v>-10</v>
      </c>
      <c r="U40" s="42">
        <f>IF(((K40/(K8-K9))*100)&gt;5,((((((((K40/(K8-K9))*100)-5)/100)*(K8-K9))*(S40/K40))*(T40/100))), 0)</f>
        <v>0</v>
      </c>
      <c r="W40" s="36" t="s">
        <v>43</v>
      </c>
      <c r="X40" s="39">
        <f>(SUMIF(D5:D124,"4", B5:B124))</f>
        <v>0</v>
      </c>
      <c r="Y40" s="13">
        <v>-10</v>
      </c>
      <c r="Z40" s="42">
        <f>X40*Y40/100</f>
        <v>0</v>
      </c>
      <c r="AB40" s="36" t="s">
        <v>43</v>
      </c>
      <c r="AC40" s="39">
        <f>(SUMIF(D5:D124,"4", B5:B124))</f>
        <v>0</v>
      </c>
      <c r="AD40" s="13">
        <v>-10</v>
      </c>
      <c r="AE40" s="42">
        <f>AC40*AD40/100</f>
        <v>0</v>
      </c>
      <c r="AG40" s="36" t="s">
        <v>43</v>
      </c>
      <c r="AH40" s="39">
        <f>(SUMIF(D5:D125,"4", B5:B125))</f>
        <v>0</v>
      </c>
      <c r="AI40" s="13">
        <v>-10</v>
      </c>
      <c r="AJ40" s="42">
        <f>AH40*AI40/100</f>
        <v>0</v>
      </c>
      <c r="AL40" s="36" t="s">
        <v>41</v>
      </c>
      <c r="AM40" s="39">
        <f>(SUMIF(D5:D124,"4", B5:B124))</f>
        <v>0</v>
      </c>
      <c r="AN40" s="15">
        <v>-10</v>
      </c>
      <c r="AO40" s="42">
        <f>IF(((K40/(K8-K9))*100)&gt;5,((((((((K40/(K8-K9))*100)-5)/100)*(K8-K9))*(AM40/K40))*(AN40/100))), 0)</f>
        <v>0</v>
      </c>
      <c r="BZ40" s="1"/>
    </row>
    <row r="41" spans="1:78" x14ac:dyDescent="0.35">
      <c r="A41" s="4"/>
      <c r="B41" s="4"/>
      <c r="C41" s="4"/>
      <c r="D41" s="4"/>
      <c r="E41" s="4"/>
      <c r="F41" s="4"/>
      <c r="G41" s="4"/>
      <c r="H41" s="4"/>
      <c r="I41" s="6"/>
      <c r="J41" s="36" t="s">
        <v>39</v>
      </c>
      <c r="K41" s="40">
        <f>COUNTIF($D$4:$D$123,"5")</f>
        <v>0</v>
      </c>
      <c r="L41" s="6"/>
      <c r="M41" s="36" t="s">
        <v>39</v>
      </c>
      <c r="N41" s="39">
        <f>SUMIF($D$5:$D$124,"5",$B$5:$B$124)</f>
        <v>0</v>
      </c>
      <c r="O41" s="13">
        <v>-20</v>
      </c>
      <c r="P41" s="42">
        <f>(N41*O41/100)</f>
        <v>0</v>
      </c>
      <c r="Q41" s="6"/>
      <c r="R41" s="36" t="s">
        <v>39</v>
      </c>
      <c r="S41" s="39">
        <f>SUMIF($D$5:$D$124,"5",$B$5:$B$124)</f>
        <v>0</v>
      </c>
      <c r="T41" s="13">
        <v>-20</v>
      </c>
      <c r="U41" s="42">
        <f>(S41*T41/100)</f>
        <v>0</v>
      </c>
      <c r="W41" s="36" t="s">
        <v>39</v>
      </c>
      <c r="X41" s="39">
        <f>SUMIF(D5:D124,"5",B5:B124)</f>
        <v>0</v>
      </c>
      <c r="Y41" s="13">
        <v>-10</v>
      </c>
      <c r="Z41" s="42">
        <f>X41*Y41/100</f>
        <v>0</v>
      </c>
      <c r="AB41" s="36" t="s">
        <v>39</v>
      </c>
      <c r="AC41" s="39">
        <f>SUMIF(I5:I124,"5",F5:F124)</f>
        <v>0</v>
      </c>
      <c r="AD41" s="13">
        <v>-10</v>
      </c>
      <c r="AE41" s="42">
        <f>AC41*AD41/100</f>
        <v>0</v>
      </c>
      <c r="AG41" s="36" t="s">
        <v>39</v>
      </c>
      <c r="AH41" s="39">
        <f>SUMIF(N5:N121,"5",L5:L121)</f>
        <v>0</v>
      </c>
      <c r="AI41" s="13">
        <v>-10</v>
      </c>
      <c r="AJ41" s="42">
        <f>AH41*AI41/100</f>
        <v>0</v>
      </c>
      <c r="AL41" s="36" t="s">
        <v>39</v>
      </c>
      <c r="AM41" s="39">
        <f>SUMIF($D$5:$D$124,"5",$B$5:$B$124)</f>
        <v>0</v>
      </c>
      <c r="AN41" s="13">
        <v>-20</v>
      </c>
      <c r="AO41" s="42">
        <f>(AM41*AN41/100)</f>
        <v>0</v>
      </c>
      <c r="BZ41" s="1"/>
    </row>
    <row r="42" spans="1:78" ht="15.5" customHeight="1" x14ac:dyDescent="0.35">
      <c r="A42" s="4"/>
      <c r="B42" s="4"/>
      <c r="C42" s="4"/>
      <c r="D42" s="4"/>
      <c r="E42" s="4"/>
      <c r="F42" s="4"/>
      <c r="G42" s="4"/>
      <c r="H42" s="4"/>
      <c r="I42" s="6"/>
      <c r="J42" s="88" t="s">
        <v>128</v>
      </c>
      <c r="K42" s="84" t="s">
        <v>60</v>
      </c>
      <c r="L42" s="38"/>
      <c r="M42" s="88" t="s">
        <v>128</v>
      </c>
      <c r="N42" s="87" t="s">
        <v>36</v>
      </c>
      <c r="O42" s="90" t="s">
        <v>50</v>
      </c>
      <c r="P42" s="82" t="s">
        <v>35</v>
      </c>
      <c r="Q42" s="33"/>
      <c r="R42" s="88" t="s">
        <v>128</v>
      </c>
      <c r="S42" s="87" t="s">
        <v>36</v>
      </c>
      <c r="T42" s="90" t="s">
        <v>50</v>
      </c>
      <c r="U42" s="82" t="s">
        <v>35</v>
      </c>
      <c r="W42" s="88" t="s">
        <v>128</v>
      </c>
      <c r="X42" s="84" t="s">
        <v>36</v>
      </c>
      <c r="Y42" s="90" t="s">
        <v>50</v>
      </c>
      <c r="Z42" s="82" t="s">
        <v>35</v>
      </c>
      <c r="AB42" s="88" t="s">
        <v>128</v>
      </c>
      <c r="AC42" s="84" t="s">
        <v>36</v>
      </c>
      <c r="AD42" s="90" t="s">
        <v>50</v>
      </c>
      <c r="AE42" s="82" t="s">
        <v>35</v>
      </c>
      <c r="AG42" s="88" t="s">
        <v>128</v>
      </c>
      <c r="AH42" s="84" t="s">
        <v>36</v>
      </c>
      <c r="AI42" s="90" t="s">
        <v>50</v>
      </c>
      <c r="AJ42" s="82" t="s">
        <v>35</v>
      </c>
      <c r="AL42" s="88" t="s">
        <v>128</v>
      </c>
      <c r="AM42" s="84" t="s">
        <v>36</v>
      </c>
      <c r="AN42" s="90" t="s">
        <v>50</v>
      </c>
      <c r="AO42" s="82" t="s">
        <v>35</v>
      </c>
      <c r="BZ42" s="1"/>
    </row>
    <row r="43" spans="1:78" ht="14.5" customHeight="1" x14ac:dyDescent="0.35">
      <c r="A43" s="4"/>
      <c r="B43" s="4"/>
      <c r="C43" s="4"/>
      <c r="D43" s="4"/>
      <c r="E43" s="4"/>
      <c r="F43" s="4"/>
      <c r="G43" s="4"/>
      <c r="H43" s="4"/>
      <c r="I43" s="6"/>
      <c r="J43" s="89"/>
      <c r="K43" s="84"/>
      <c r="L43" s="6"/>
      <c r="M43" s="89"/>
      <c r="N43" s="87"/>
      <c r="O43" s="91"/>
      <c r="P43" s="83"/>
      <c r="Q43" s="38"/>
      <c r="R43" s="89"/>
      <c r="S43" s="87"/>
      <c r="T43" s="91"/>
      <c r="U43" s="83"/>
      <c r="W43" s="89"/>
      <c r="X43" s="84"/>
      <c r="Y43" s="91"/>
      <c r="Z43" s="83"/>
      <c r="AB43" s="89"/>
      <c r="AC43" s="84"/>
      <c r="AD43" s="91"/>
      <c r="AE43" s="83"/>
      <c r="AG43" s="89"/>
      <c r="AH43" s="84"/>
      <c r="AI43" s="91"/>
      <c r="AJ43" s="83"/>
      <c r="AL43" s="89"/>
      <c r="AM43" s="84"/>
      <c r="AN43" s="91"/>
      <c r="AO43" s="83"/>
      <c r="BZ43" s="1"/>
    </row>
    <row r="44" spans="1:78" x14ac:dyDescent="0.35">
      <c r="A44" s="4"/>
      <c r="B44" s="4"/>
      <c r="C44" s="4"/>
      <c r="D44" s="4"/>
      <c r="E44" s="4"/>
      <c r="F44" s="4"/>
      <c r="G44" s="4"/>
      <c r="H44" s="4"/>
      <c r="I44" s="6"/>
      <c r="J44" s="36" t="s">
        <v>16</v>
      </c>
      <c r="K44" s="40">
        <f>COUNTIF(G5:G124,"Yes")</f>
        <v>0</v>
      </c>
      <c r="L44" s="6"/>
      <c r="M44" s="36" t="s">
        <v>16</v>
      </c>
      <c r="N44" s="39">
        <f>(SUMIF(G5:G124,"Yes", $B$5:$B$124))</f>
        <v>0</v>
      </c>
      <c r="O44" s="16">
        <v>-5</v>
      </c>
      <c r="P44" s="49">
        <f>(N44*O44/100)</f>
        <v>0</v>
      </c>
      <c r="Q44" s="38"/>
      <c r="R44" s="36" t="s">
        <v>16</v>
      </c>
      <c r="S44" s="39">
        <f>(SUMIF(G5:G124,"Yes", $B$5:$B$124))</f>
        <v>0</v>
      </c>
      <c r="T44" s="16">
        <v>-5</v>
      </c>
      <c r="U44" s="49">
        <f>(S44*T44/100)</f>
        <v>0</v>
      </c>
      <c r="W44" s="36" t="s">
        <v>16</v>
      </c>
      <c r="X44" s="39">
        <f>(SUMIF(G5:G124,"Yes", $B$5:$B$124))</f>
        <v>0</v>
      </c>
      <c r="Y44" s="16">
        <v>-5</v>
      </c>
      <c r="Z44" s="49">
        <f>X44*Y44/100</f>
        <v>0</v>
      </c>
      <c r="AB44" s="36" t="s">
        <v>16</v>
      </c>
      <c r="AC44" s="39">
        <f ca="1">(SUMIF(G5:G125,"Yes", $B$5:$B$124))</f>
        <v>0</v>
      </c>
      <c r="AD44" s="16">
        <v>-5</v>
      </c>
      <c r="AE44" s="49">
        <f ca="1">AC44*AD44/100</f>
        <v>0</v>
      </c>
      <c r="AG44" s="36" t="s">
        <v>16</v>
      </c>
      <c r="AH44" s="39">
        <f ca="1">(SUMIF(G5:G125,"Yes", $B$5:$B$124))</f>
        <v>0</v>
      </c>
      <c r="AI44" s="16">
        <v>-5</v>
      </c>
      <c r="AJ44" s="49">
        <f ca="1">AH44*AI44/100</f>
        <v>0</v>
      </c>
      <c r="AL44" s="36" t="s">
        <v>16</v>
      </c>
      <c r="AM44" s="39">
        <f ca="1">(SUMIF(G5:G125,"Yes", $B$5:$B$124))</f>
        <v>0</v>
      </c>
      <c r="AN44" s="16">
        <v>-5</v>
      </c>
      <c r="AO44" s="49">
        <f ca="1">AM44*AN44/100</f>
        <v>0</v>
      </c>
      <c r="BZ44" s="1"/>
    </row>
    <row r="45" spans="1:78" x14ac:dyDescent="0.35">
      <c r="A45" s="4"/>
      <c r="B45" s="4"/>
      <c r="C45" s="4"/>
      <c r="D45" s="4"/>
      <c r="E45" s="4"/>
      <c r="F45" s="4"/>
      <c r="G45" s="4"/>
      <c r="H45" s="4"/>
      <c r="I45" s="6"/>
      <c r="J45" s="36" t="s">
        <v>120</v>
      </c>
      <c r="K45" s="40">
        <f>COUNTIF(H6:H125,"Yes")</f>
        <v>0</v>
      </c>
      <c r="L45" s="6"/>
      <c r="M45" s="111"/>
      <c r="N45" s="112"/>
      <c r="O45" s="112"/>
      <c r="P45" s="113"/>
      <c r="Q45" s="6"/>
      <c r="R45" s="111"/>
      <c r="S45" s="112"/>
      <c r="T45" s="112"/>
      <c r="U45" s="113"/>
      <c r="W45" s="111"/>
      <c r="X45" s="112"/>
      <c r="Y45" s="112"/>
      <c r="Z45" s="113"/>
      <c r="AB45" s="36" t="s">
        <v>120</v>
      </c>
      <c r="AC45" s="39">
        <f>(SUMIF($H$5:$H$124,"Yes", $B$5:$B$124))</f>
        <v>0</v>
      </c>
      <c r="AD45" s="13">
        <v>3</v>
      </c>
      <c r="AE45" s="42">
        <f>AC45*AD45/100</f>
        <v>0</v>
      </c>
      <c r="AG45" s="36" t="s">
        <v>120</v>
      </c>
      <c r="AH45" s="39">
        <f>(SUMIF($H$5:$H$124,"Yes", $B$5:$B$124))</f>
        <v>0</v>
      </c>
      <c r="AI45" s="13">
        <v>3</v>
      </c>
      <c r="AJ45" s="42">
        <f>AH45*AI45/100</f>
        <v>0</v>
      </c>
      <c r="AL45" s="36" t="s">
        <v>120</v>
      </c>
      <c r="AM45" s="39">
        <f>(SUMIF($H$5:$H$124,"Yes", $B$5:$B$124))</f>
        <v>0</v>
      </c>
      <c r="AN45" s="13">
        <v>3</v>
      </c>
      <c r="AO45" s="42">
        <f>AM45*AN45/100</f>
        <v>0</v>
      </c>
      <c r="BZ45" s="1"/>
    </row>
    <row r="46" spans="1:78" x14ac:dyDescent="0.35">
      <c r="A46" s="4"/>
      <c r="B46" s="4"/>
      <c r="C46" s="4"/>
      <c r="D46" s="4"/>
      <c r="E46" s="4"/>
      <c r="F46" s="4"/>
      <c r="G46" s="4"/>
      <c r="H46" s="4"/>
      <c r="I46" s="6"/>
      <c r="J46" s="6"/>
      <c r="K46" s="6"/>
      <c r="L46" s="38"/>
      <c r="M46" s="6"/>
      <c r="N46" s="6"/>
      <c r="O46" s="33"/>
      <c r="P46" s="6"/>
      <c r="Q46" s="6"/>
      <c r="R46" s="6"/>
      <c r="S46" s="6"/>
      <c r="T46" s="33"/>
      <c r="U46" s="6"/>
      <c r="Y46" s="33"/>
      <c r="AD46" s="33"/>
      <c r="AI46" s="33"/>
      <c r="AN46" s="33"/>
      <c r="BZ46" s="1"/>
    </row>
    <row r="47" spans="1:78" ht="17" x14ac:dyDescent="0.4">
      <c r="A47" s="4"/>
      <c r="B47" s="4"/>
      <c r="C47" s="4"/>
      <c r="D47" s="4"/>
      <c r="E47" s="4"/>
      <c r="F47" s="4"/>
      <c r="G47" s="4"/>
      <c r="H47" s="4"/>
      <c r="I47" s="6"/>
      <c r="J47" s="6"/>
      <c r="K47" s="6"/>
      <c r="L47" s="64"/>
      <c r="M47" s="65" t="s">
        <v>85</v>
      </c>
      <c r="N47" s="84" t="s">
        <v>83</v>
      </c>
      <c r="O47" s="84"/>
      <c r="P47" s="29" t="s">
        <v>35</v>
      </c>
      <c r="Q47" s="6"/>
      <c r="R47" s="65" t="s">
        <v>86</v>
      </c>
      <c r="S47" s="84" t="s">
        <v>82</v>
      </c>
      <c r="T47" s="84"/>
      <c r="U47" s="29" t="s">
        <v>35</v>
      </c>
      <c r="W47" s="65" t="s">
        <v>87</v>
      </c>
      <c r="X47" s="86" t="s">
        <v>84</v>
      </c>
      <c r="Y47" s="87"/>
      <c r="Z47" s="29" t="s">
        <v>35</v>
      </c>
      <c r="AB47" s="65" t="s">
        <v>101</v>
      </c>
      <c r="AC47" s="86" t="s">
        <v>118</v>
      </c>
      <c r="AD47" s="87"/>
      <c r="AE47" s="29" t="s">
        <v>35</v>
      </c>
      <c r="AG47" s="65" t="s">
        <v>102</v>
      </c>
      <c r="AH47" s="86" t="s">
        <v>117</v>
      </c>
      <c r="AI47" s="87"/>
      <c r="AJ47" s="29" t="s">
        <v>35</v>
      </c>
      <c r="AL47" s="65" t="s">
        <v>103</v>
      </c>
      <c r="AM47" s="86" t="s">
        <v>116</v>
      </c>
      <c r="AN47" s="87"/>
      <c r="AO47" s="29" t="s">
        <v>35</v>
      </c>
      <c r="BZ47" s="1"/>
    </row>
    <row r="48" spans="1:78" x14ac:dyDescent="0.35">
      <c r="A48" s="4"/>
      <c r="B48" s="4"/>
      <c r="C48" s="4"/>
      <c r="D48" s="4"/>
      <c r="E48" s="4"/>
      <c r="F48" s="4"/>
      <c r="G48" s="4"/>
      <c r="H48" s="4"/>
      <c r="I48" s="6"/>
      <c r="J48" s="6"/>
      <c r="K48" s="6"/>
      <c r="L48" s="64"/>
      <c r="M48" s="6"/>
      <c r="N48" s="93" t="s">
        <v>46</v>
      </c>
      <c r="O48" s="93"/>
      <c r="P48" s="42">
        <f>N12*K12/100</f>
        <v>89055.442622950824</v>
      </c>
      <c r="Q48" s="38"/>
      <c r="R48" s="6"/>
      <c r="S48" s="93" t="s">
        <v>46</v>
      </c>
      <c r="T48" s="93"/>
      <c r="U48" s="42">
        <f>S12*K12/100</f>
        <v>89055.442622950824</v>
      </c>
      <c r="W48" s="33"/>
      <c r="X48" s="94" t="s">
        <v>46</v>
      </c>
      <c r="Y48" s="94"/>
      <c r="Z48" s="42">
        <f>X12*K12/100</f>
        <v>90316.390243902453</v>
      </c>
      <c r="AB48" s="33"/>
      <c r="AC48" s="94" t="s">
        <v>46</v>
      </c>
      <c r="AD48" s="94"/>
      <c r="AE48" s="42">
        <f>AC12*K12/100</f>
        <v>92301.365853658543</v>
      </c>
      <c r="AG48" s="33"/>
      <c r="AH48" s="94" t="s">
        <v>46</v>
      </c>
      <c r="AI48" s="94"/>
      <c r="AJ48" s="42">
        <f>AH12*K12/100</f>
        <v>92301.365853658543</v>
      </c>
      <c r="AL48" s="33"/>
      <c r="AM48" s="94" t="s">
        <v>46</v>
      </c>
      <c r="AN48" s="94"/>
      <c r="AO48" s="42">
        <f>AM12*K12/100</f>
        <v>91316.692913385836</v>
      </c>
      <c r="BZ48" s="1"/>
    </row>
    <row r="49" spans="1:78" x14ac:dyDescent="0.35">
      <c r="A49" s="4"/>
      <c r="B49" s="4"/>
      <c r="C49" s="4"/>
      <c r="D49" s="4"/>
      <c r="E49" s="4"/>
      <c r="F49" s="4"/>
      <c r="G49" s="4"/>
      <c r="H49" s="4"/>
      <c r="I49" s="6"/>
      <c r="J49" s="6"/>
      <c r="K49" s="6"/>
      <c r="L49" s="64"/>
      <c r="M49" s="64"/>
      <c r="N49" s="94" t="s">
        <v>48</v>
      </c>
      <c r="O49" s="94"/>
      <c r="P49" s="42">
        <f>SUM(P18:P25)</f>
        <v>-104.55</v>
      </c>
      <c r="Q49" s="33"/>
      <c r="R49" s="64"/>
      <c r="S49" s="94" t="s">
        <v>48</v>
      </c>
      <c r="T49" s="94"/>
      <c r="U49" s="42">
        <f>SUM(U18:U25)</f>
        <v>-104.55</v>
      </c>
      <c r="W49" s="33"/>
      <c r="X49" s="94" t="s">
        <v>48</v>
      </c>
      <c r="Y49" s="94"/>
      <c r="Z49" s="42">
        <f>SUM(Z18:Z25)</f>
        <v>-34.85</v>
      </c>
      <c r="AB49" s="33"/>
      <c r="AC49" s="94" t="s">
        <v>48</v>
      </c>
      <c r="AD49" s="94"/>
      <c r="AE49" s="42">
        <f>SUM(AE18:AE25)</f>
        <v>-34.85</v>
      </c>
      <c r="AG49" s="33"/>
      <c r="AH49" s="94" t="s">
        <v>48</v>
      </c>
      <c r="AI49" s="94"/>
      <c r="AJ49" s="42">
        <f>SUM(AJ18:AJ25)</f>
        <v>-34.85</v>
      </c>
      <c r="AL49" s="33"/>
      <c r="AM49" s="94" t="s">
        <v>48</v>
      </c>
      <c r="AN49" s="94"/>
      <c r="AO49" s="42">
        <f>SUM(AO18:AO25)</f>
        <v>0</v>
      </c>
      <c r="BZ49" s="1"/>
    </row>
    <row r="50" spans="1:78" x14ac:dyDescent="0.35">
      <c r="A50" s="4"/>
      <c r="B50" s="4"/>
      <c r="C50" s="4"/>
      <c r="D50" s="4"/>
      <c r="E50" s="4"/>
      <c r="F50" s="4"/>
      <c r="G50" s="4"/>
      <c r="H50" s="4"/>
      <c r="I50" s="6"/>
      <c r="J50" s="6"/>
      <c r="K50" s="6"/>
      <c r="L50" s="64"/>
      <c r="M50" s="64"/>
      <c r="N50" s="94" t="s">
        <v>47</v>
      </c>
      <c r="O50" s="94"/>
      <c r="P50" s="42">
        <f>P28+P32+P33+P37+P38+P39+P40+P41+P44</f>
        <v>474.32194615384685</v>
      </c>
      <c r="Q50" s="33"/>
      <c r="R50" s="64"/>
      <c r="S50" s="94" t="s">
        <v>47</v>
      </c>
      <c r="T50" s="94"/>
      <c r="U50" s="42">
        <f>U28+U32+U33+U37+U38+U39+U40+U41+U44</f>
        <v>-632.42926153846088</v>
      </c>
      <c r="W50" s="33"/>
      <c r="X50" s="94" t="s">
        <v>47</v>
      </c>
      <c r="Y50" s="94"/>
      <c r="Z50" s="42">
        <f>Z28+Z29+Z30+Z31+Z32+Z33+Z34+Z37+Z38+Z39+Z41+Z40+Z44</f>
        <v>-2759.9785000000006</v>
      </c>
      <c r="AB50" s="33"/>
      <c r="AC50" s="94" t="s">
        <v>47</v>
      </c>
      <c r="AD50" s="94"/>
      <c r="AE50" s="42">
        <f ca="1">AE28+AE29+AE30+AE31+AE32+AE33+AE34+AE37+AE38+AE39+AE41+AE40+AE44+AE45</f>
        <v>-2413.2222999999999</v>
      </c>
      <c r="AG50" s="33"/>
      <c r="AH50" s="94" t="s">
        <v>47</v>
      </c>
      <c r="AI50" s="94"/>
      <c r="AJ50" s="42">
        <f ca="1">AJ28+AJ29+AJ30+AJ31+AJ32+AJ33+AJ34+AJ37+AJ38+AJ39+AJ41+AJ40+AJ44+AJ45</f>
        <v>-2413.2222999999999</v>
      </c>
      <c r="AL50" s="33"/>
      <c r="AM50" s="94" t="s">
        <v>47</v>
      </c>
      <c r="AN50" s="94"/>
      <c r="AO50" s="42">
        <f ca="1">AO28+AO32+AO33+AO37+AO38+AO39+AO40+AO41+AO44+AO45</f>
        <v>-632.42926153846088</v>
      </c>
      <c r="BZ50" s="1"/>
    </row>
    <row r="51" spans="1:78" x14ac:dyDescent="0.35">
      <c r="A51" s="4"/>
      <c r="B51" s="4"/>
      <c r="C51" s="4"/>
      <c r="D51" s="4"/>
      <c r="E51" s="4"/>
      <c r="F51" s="4"/>
      <c r="G51" s="4"/>
      <c r="H51" s="4"/>
      <c r="I51" s="6"/>
      <c r="J51" s="6"/>
      <c r="K51" s="6"/>
      <c r="L51" s="64"/>
      <c r="M51" s="64"/>
      <c r="N51" s="94" t="s">
        <v>45</v>
      </c>
      <c r="O51" s="94"/>
      <c r="P51" s="42" cm="1">
        <f t="array" ref="P51">_xlfn.IFS(N8&lt;0,((N11/100)*N8),N8&gt;0,((N13-N11)/100)*N8)</f>
        <v>-16.2</v>
      </c>
      <c r="Q51" s="33"/>
      <c r="R51" s="64"/>
      <c r="S51" s="94" t="s">
        <v>45</v>
      </c>
      <c r="T51" s="94"/>
      <c r="U51" s="42" cm="1">
        <f t="array" ref="U51">_xlfn.IFS(S8&lt;0,((S11/100)*S8),S8&gt;0,((S13-S11)/100)*S8)</f>
        <v>-16.2</v>
      </c>
      <c r="W51" s="33"/>
      <c r="X51" s="94" t="s">
        <v>45</v>
      </c>
      <c r="Y51" s="94"/>
      <c r="Z51" s="42" cm="1">
        <f t="array" ref="Z51">_xlfn.IFS(X8&lt;0,((X11/100)*X8),X8&gt;0,((X13-X11)/100)*X8)</f>
        <v>-48.6</v>
      </c>
      <c r="AB51" s="33"/>
      <c r="AC51" s="94" t="s">
        <v>45</v>
      </c>
      <c r="AD51" s="94"/>
      <c r="AE51" s="42" cm="1">
        <f t="array" ref="AE51">_xlfn.IFS(AC8&lt;0,((AC11/100)*AC8),AC8&gt;0,((AC13-AC11)/100)*AC8)</f>
        <v>-81</v>
      </c>
      <c r="AG51" s="33"/>
      <c r="AH51" s="94" t="s">
        <v>45</v>
      </c>
      <c r="AI51" s="94"/>
      <c r="AJ51" s="42" cm="1">
        <f t="array" ref="AJ51">_xlfn.IFS(AH8&lt;0,((AH11/100)*AH8),AH8&gt;0,((AH13-AH11)/100)*AH8)</f>
        <v>-81</v>
      </c>
      <c r="AL51" s="33"/>
      <c r="AM51" s="94" t="s">
        <v>45</v>
      </c>
      <c r="AN51" s="94"/>
      <c r="AO51" s="42" cm="1">
        <f t="array" ref="AO51">_xlfn.IFS(AM8&lt;0,((AM11/100)*AM8),AM8&gt;0,((AM13-AM11)/100)*AM8)</f>
        <v>-113.4</v>
      </c>
      <c r="BZ51" s="1"/>
    </row>
    <row r="52" spans="1:78" x14ac:dyDescent="0.35">
      <c r="A52" s="4"/>
      <c r="B52" s="4"/>
      <c r="C52" s="4"/>
      <c r="D52" s="4"/>
      <c r="E52" s="4"/>
      <c r="F52" s="4"/>
      <c r="G52" s="4"/>
      <c r="H52" s="4"/>
      <c r="I52" s="6"/>
      <c r="J52" s="6"/>
      <c r="K52" s="6"/>
      <c r="L52" s="66"/>
      <c r="M52" s="64"/>
      <c r="N52" s="96" t="s">
        <v>70</v>
      </c>
      <c r="O52" s="97"/>
      <c r="P52" s="42">
        <f>Z52</f>
        <v>0</v>
      </c>
      <c r="Q52" s="33"/>
      <c r="R52" s="64"/>
      <c r="S52" s="96" t="s">
        <v>70</v>
      </c>
      <c r="T52" s="97"/>
      <c r="U52" s="42">
        <f>Z52</f>
        <v>0</v>
      </c>
      <c r="W52" s="33"/>
      <c r="X52" s="96" t="s">
        <v>70</v>
      </c>
      <c r="Y52" s="97"/>
      <c r="Z52" s="31">
        <v>0</v>
      </c>
      <c r="AB52" s="33"/>
      <c r="AC52" s="96" t="s">
        <v>70</v>
      </c>
      <c r="AD52" s="97"/>
      <c r="AE52" s="42">
        <f>Z52</f>
        <v>0</v>
      </c>
      <c r="AG52" s="33"/>
      <c r="AH52" s="96" t="s">
        <v>70</v>
      </c>
      <c r="AI52" s="97"/>
      <c r="AJ52" s="42">
        <f>AE52</f>
        <v>0</v>
      </c>
      <c r="AL52" s="33"/>
      <c r="AM52" s="96" t="s">
        <v>70</v>
      </c>
      <c r="AN52" s="97"/>
      <c r="AO52" s="42">
        <f>AJ52</f>
        <v>0</v>
      </c>
      <c r="BZ52" s="1"/>
    </row>
    <row r="53" spans="1:78" x14ac:dyDescent="0.35">
      <c r="A53" s="4"/>
      <c r="B53" s="4"/>
      <c r="C53" s="4"/>
      <c r="D53" s="4"/>
      <c r="E53" s="4"/>
      <c r="F53" s="4"/>
      <c r="G53" s="4"/>
      <c r="H53" s="4"/>
      <c r="I53" s="6"/>
      <c r="J53" s="6"/>
      <c r="K53" s="6"/>
      <c r="L53" s="6"/>
      <c r="M53" s="64"/>
      <c r="N53" s="94" t="s">
        <v>21</v>
      </c>
      <c r="O53" s="94"/>
      <c r="P53" s="42">
        <f>-1*K8</f>
        <v>-35</v>
      </c>
      <c r="Q53" s="33"/>
      <c r="R53" s="64"/>
      <c r="S53" s="94" t="s">
        <v>21</v>
      </c>
      <c r="T53" s="94"/>
      <c r="U53" s="42">
        <f>-1*K8</f>
        <v>-35</v>
      </c>
      <c r="W53" s="33"/>
      <c r="X53" s="94" t="s">
        <v>21</v>
      </c>
      <c r="Y53" s="94"/>
      <c r="Z53" s="42">
        <f>-1*K8</f>
        <v>-35</v>
      </c>
      <c r="AB53" s="33"/>
      <c r="AC53" s="94" t="s">
        <v>21</v>
      </c>
      <c r="AD53" s="94"/>
      <c r="AE53" s="42">
        <f>-1*K8</f>
        <v>-35</v>
      </c>
      <c r="AG53" s="33"/>
      <c r="AH53" s="94" t="s">
        <v>21</v>
      </c>
      <c r="AI53" s="94"/>
      <c r="AJ53" s="42">
        <f>-1*K8</f>
        <v>-35</v>
      </c>
      <c r="AL53" s="33"/>
      <c r="AM53" s="94" t="s">
        <v>21</v>
      </c>
      <c r="AN53" s="94"/>
      <c r="AO53" s="42">
        <f>-1*K8</f>
        <v>-35</v>
      </c>
      <c r="BZ53" s="1"/>
    </row>
    <row r="54" spans="1:78" x14ac:dyDescent="0.35">
      <c r="A54" s="4"/>
      <c r="B54" s="4"/>
      <c r="C54" s="4"/>
      <c r="D54" s="4"/>
      <c r="E54" s="4"/>
      <c r="F54" s="4"/>
      <c r="G54" s="4"/>
      <c r="H54" s="4"/>
      <c r="I54" s="6"/>
      <c r="J54" s="6"/>
      <c r="K54" s="6"/>
      <c r="L54" s="6"/>
      <c r="M54" s="66"/>
      <c r="N54" s="95" t="s">
        <v>44</v>
      </c>
      <c r="O54" s="95"/>
      <c r="P54" s="68">
        <f>SUM(P48:P53)</f>
        <v>89374.014569104678</v>
      </c>
      <c r="Q54" s="33"/>
      <c r="R54" s="66"/>
      <c r="S54" s="95" t="s">
        <v>44</v>
      </c>
      <c r="T54" s="95"/>
      <c r="U54" s="68">
        <f>SUM(U48:U53)</f>
        <v>88267.263361412362</v>
      </c>
      <c r="X54" s="95" t="s">
        <v>44</v>
      </c>
      <c r="Y54" s="95"/>
      <c r="Z54" s="68">
        <f>SUM(Z48:Z53)</f>
        <v>87437.961743902444</v>
      </c>
      <c r="AC54" s="95" t="s">
        <v>44</v>
      </c>
      <c r="AD54" s="95"/>
      <c r="AE54" s="68">
        <f ca="1">SUM(AE48:AE53)</f>
        <v>89737.293553658543</v>
      </c>
      <c r="AH54" s="95" t="s">
        <v>44</v>
      </c>
      <c r="AI54" s="95"/>
      <c r="AJ54" s="68">
        <f ca="1">SUM(AJ48:AJ53)</f>
        <v>89737.293553658543</v>
      </c>
      <c r="AM54" s="95" t="s">
        <v>44</v>
      </c>
      <c r="AN54" s="95"/>
      <c r="AO54" s="68">
        <f ca="1">SUM(AO48:AO53)</f>
        <v>90535.86365184738</v>
      </c>
      <c r="BZ54" s="1"/>
    </row>
    <row r="55" spans="1:78" x14ac:dyDescent="0.35">
      <c r="A55" s="4"/>
      <c r="B55" s="4"/>
      <c r="C55" s="4"/>
      <c r="D55" s="4"/>
      <c r="E55" s="4"/>
      <c r="F55" s="4"/>
      <c r="G55" s="4"/>
      <c r="H55" s="4"/>
      <c r="I55" s="6"/>
      <c r="J55" s="6"/>
      <c r="K55" s="6"/>
      <c r="L55" s="6"/>
      <c r="M55" s="6"/>
      <c r="N55" s="6"/>
      <c r="O55" s="6"/>
      <c r="P55" s="33"/>
      <c r="Q55" s="6"/>
      <c r="R55" s="6"/>
      <c r="S55" s="6"/>
      <c r="T55" s="6"/>
      <c r="U55" s="6"/>
      <c r="BZ55" s="1"/>
    </row>
    <row r="56" spans="1:78" ht="17" x14ac:dyDescent="0.4">
      <c r="A56" s="4"/>
      <c r="B56" s="4"/>
      <c r="C56" s="4"/>
      <c r="D56" s="4"/>
      <c r="E56" s="4"/>
      <c r="F56" s="4"/>
      <c r="G56" s="4"/>
      <c r="H56" s="4"/>
      <c r="I56" s="6"/>
      <c r="J56" s="6"/>
      <c r="K56" s="6"/>
      <c r="L56" s="6"/>
      <c r="M56" s="6"/>
      <c r="N56" s="6"/>
      <c r="O56" s="6"/>
      <c r="P56" s="6"/>
      <c r="Q56" s="6"/>
      <c r="R56" s="6"/>
      <c r="S56" s="84" t="s">
        <v>88</v>
      </c>
      <c r="T56" s="84"/>
      <c r="U56" s="29" t="s">
        <v>35</v>
      </c>
      <c r="AC56" s="84" t="s">
        <v>119</v>
      </c>
      <c r="AD56" s="84"/>
      <c r="AE56" s="29" t="s">
        <v>35</v>
      </c>
      <c r="BZ56" s="1"/>
    </row>
    <row r="57" spans="1:78" x14ac:dyDescent="0.35">
      <c r="A57" s="4"/>
      <c r="B57" s="4"/>
      <c r="C57" s="4"/>
      <c r="D57" s="4"/>
      <c r="E57" s="4"/>
      <c r="F57" s="4"/>
      <c r="G57" s="4"/>
      <c r="H57" s="4"/>
      <c r="I57" s="6"/>
      <c r="J57" s="6"/>
      <c r="K57" s="6"/>
      <c r="L57" s="6"/>
      <c r="M57" s="6"/>
      <c r="N57" s="6"/>
      <c r="O57" s="6"/>
      <c r="P57" s="6"/>
      <c r="Q57" s="6"/>
      <c r="R57" s="6"/>
      <c r="S57" s="92" t="s">
        <v>89</v>
      </c>
      <c r="T57" s="92"/>
      <c r="U57" s="69">
        <f>P54-U54</f>
        <v>1106.7512076923158</v>
      </c>
      <c r="AC57" s="92" t="s">
        <v>104</v>
      </c>
      <c r="AD57" s="92"/>
      <c r="AE57" s="69">
        <f ca="1">Z54-AE54</f>
        <v>-2299.3318097560987</v>
      </c>
      <c r="BZ57" s="1"/>
    </row>
    <row r="58" spans="1:78" x14ac:dyDescent="0.35">
      <c r="A58" s="4"/>
      <c r="B58" s="4"/>
      <c r="C58" s="4"/>
      <c r="D58" s="4"/>
      <c r="E58" s="4"/>
      <c r="F58" s="4"/>
      <c r="G58" s="4"/>
      <c r="H58" s="4"/>
      <c r="I58" s="6"/>
      <c r="J58" s="6"/>
      <c r="K58" s="6"/>
      <c r="L58" s="6"/>
      <c r="M58" s="6"/>
      <c r="N58" s="6"/>
      <c r="O58" s="6"/>
      <c r="P58" s="6"/>
      <c r="Q58" s="6"/>
      <c r="R58" s="6"/>
      <c r="S58" s="92" t="s">
        <v>90</v>
      </c>
      <c r="T58" s="92"/>
      <c r="U58" s="68">
        <f>U57/K8</f>
        <v>31.621463076923309</v>
      </c>
      <c r="AC58" s="92" t="s">
        <v>105</v>
      </c>
      <c r="AD58" s="92"/>
      <c r="AE58" s="68">
        <f ca="1">AE57/K8</f>
        <v>-65.695194564459968</v>
      </c>
      <c r="BZ58" s="1"/>
    </row>
    <row r="59" spans="1:78" x14ac:dyDescent="0.35">
      <c r="A59" s="4"/>
      <c r="B59" s="4"/>
      <c r="C59" s="4"/>
      <c r="D59" s="4"/>
      <c r="E59" s="4"/>
      <c r="F59" s="4"/>
      <c r="G59" s="4"/>
      <c r="H59" s="4"/>
      <c r="I59" s="6"/>
      <c r="J59" s="6"/>
      <c r="K59" s="6"/>
      <c r="L59" s="6"/>
      <c r="M59" s="6"/>
      <c r="N59" s="6"/>
      <c r="O59" s="6"/>
      <c r="P59" s="6"/>
      <c r="Q59" s="6"/>
      <c r="R59" s="6"/>
      <c r="S59" s="92" t="s">
        <v>91</v>
      </c>
      <c r="T59" s="92"/>
      <c r="U59" s="69">
        <f>P54-Z54</f>
        <v>1936.0528252022341</v>
      </c>
      <c r="AC59" s="92" t="s">
        <v>106</v>
      </c>
      <c r="AD59" s="92"/>
      <c r="AE59" s="69">
        <f ca="1">Z54-AJ54</f>
        <v>-2299.3318097560987</v>
      </c>
    </row>
    <row r="60" spans="1:78" x14ac:dyDescent="0.35">
      <c r="A60" s="4"/>
      <c r="B60" s="4"/>
      <c r="C60" s="4"/>
      <c r="D60" s="4"/>
      <c r="E60" s="4"/>
      <c r="F60" s="4"/>
      <c r="G60" s="4"/>
      <c r="H60" s="4"/>
      <c r="I60" s="6"/>
      <c r="J60" s="6"/>
      <c r="K60" s="6"/>
      <c r="L60" s="6"/>
      <c r="M60" s="6"/>
      <c r="N60" s="6"/>
      <c r="O60" s="6"/>
      <c r="P60" s="6"/>
      <c r="Q60" s="6"/>
      <c r="R60" s="6"/>
      <c r="S60" s="92" t="s">
        <v>92</v>
      </c>
      <c r="T60" s="92"/>
      <c r="U60" s="68">
        <f>U59/K8</f>
        <v>55.315795005778114</v>
      </c>
      <c r="AC60" s="92" t="s">
        <v>107</v>
      </c>
      <c r="AD60" s="92"/>
      <c r="AE60" s="68">
        <f ca="1">AE59/K8</f>
        <v>-65.695194564459968</v>
      </c>
    </row>
    <row r="61" spans="1:78" x14ac:dyDescent="0.35">
      <c r="A61" s="4"/>
      <c r="B61" s="4"/>
      <c r="C61" s="4"/>
      <c r="D61" s="4"/>
      <c r="E61" s="4"/>
      <c r="F61" s="4"/>
      <c r="G61" s="4"/>
      <c r="H61" s="4"/>
      <c r="I61" s="6"/>
      <c r="J61" s="6"/>
      <c r="K61" s="6"/>
      <c r="L61" s="6"/>
      <c r="M61" s="6"/>
      <c r="N61" s="6"/>
      <c r="O61" s="6"/>
      <c r="P61" s="6"/>
      <c r="Q61" s="6"/>
      <c r="R61" s="6"/>
      <c r="S61" s="92" t="s">
        <v>93</v>
      </c>
      <c r="T61" s="92"/>
      <c r="U61" s="69">
        <f>U54-Z54</f>
        <v>829.30161750991829</v>
      </c>
      <c r="AC61" s="92" t="s">
        <v>108</v>
      </c>
      <c r="AD61" s="92"/>
      <c r="AE61" s="69">
        <f ca="1">AE54-AO54</f>
        <v>-798.57009818883671</v>
      </c>
    </row>
    <row r="62" spans="1:78" x14ac:dyDescent="0.35">
      <c r="A62" s="4"/>
      <c r="B62" s="4"/>
      <c r="C62" s="4"/>
      <c r="D62" s="4"/>
      <c r="E62" s="4"/>
      <c r="F62" s="4"/>
      <c r="G62" s="4"/>
      <c r="H62" s="4"/>
      <c r="I62" s="6"/>
      <c r="J62" s="6"/>
      <c r="K62" s="6"/>
      <c r="L62" s="6"/>
      <c r="M62" s="6"/>
      <c r="N62" s="6"/>
      <c r="O62" s="6"/>
      <c r="P62" s="6"/>
      <c r="Q62" s="6"/>
      <c r="R62" s="6"/>
      <c r="S62" s="92" t="s">
        <v>94</v>
      </c>
      <c r="T62" s="92"/>
      <c r="U62" s="68">
        <f>U61/K8</f>
        <v>23.694331928854808</v>
      </c>
      <c r="AC62" s="92" t="s">
        <v>109</v>
      </c>
      <c r="AD62" s="92"/>
      <c r="AE62" s="68">
        <f ca="1">AE61/K8</f>
        <v>-22.816288519681049</v>
      </c>
    </row>
    <row r="63" spans="1:78" x14ac:dyDescent="0.35">
      <c r="A63" s="4"/>
      <c r="B63" s="4"/>
      <c r="C63" s="4"/>
      <c r="D63" s="4"/>
      <c r="E63" s="4"/>
      <c r="F63" s="4"/>
      <c r="G63" s="4"/>
      <c r="H63" s="4"/>
      <c r="I63" s="6"/>
      <c r="J63" s="6"/>
      <c r="K63" s="6"/>
      <c r="L63" s="6"/>
      <c r="M63" s="6"/>
      <c r="N63" s="6"/>
      <c r="O63" s="6"/>
      <c r="P63" s="6"/>
      <c r="Q63" s="6"/>
      <c r="R63" s="6"/>
      <c r="S63" s="6"/>
      <c r="T63" s="6"/>
      <c r="U63" s="6"/>
      <c r="AC63" s="92" t="s">
        <v>110</v>
      </c>
      <c r="AD63" s="92"/>
      <c r="AE63" s="69">
        <f ca="1">AE54-AJ54</f>
        <v>0</v>
      </c>
    </row>
    <row r="64" spans="1:78" x14ac:dyDescent="0.35">
      <c r="A64" s="4"/>
      <c r="B64" s="4"/>
      <c r="C64" s="4"/>
      <c r="D64" s="4"/>
      <c r="E64" s="4"/>
      <c r="F64" s="4"/>
      <c r="G64" s="4"/>
      <c r="H64" s="4"/>
      <c r="I64" s="6"/>
      <c r="J64" s="6"/>
      <c r="K64" s="6"/>
      <c r="L64" s="6"/>
      <c r="M64" s="6"/>
      <c r="N64" s="6"/>
      <c r="O64" s="6"/>
      <c r="P64" s="6"/>
      <c r="Q64" s="6"/>
      <c r="R64" s="6"/>
      <c r="S64" s="6"/>
      <c r="T64" s="6"/>
      <c r="U64" s="6"/>
      <c r="AC64" s="92" t="s">
        <v>111</v>
      </c>
      <c r="AD64" s="92"/>
      <c r="AE64" s="68">
        <f ca="1">AE63/K8</f>
        <v>0</v>
      </c>
    </row>
    <row r="65" spans="1:31" x14ac:dyDescent="0.35">
      <c r="A65" s="4"/>
      <c r="B65" s="4"/>
      <c r="C65" s="4"/>
      <c r="D65" s="4"/>
      <c r="E65" s="4"/>
      <c r="F65" s="4"/>
      <c r="G65" s="4"/>
      <c r="H65" s="4"/>
      <c r="I65" s="6"/>
      <c r="J65" s="6"/>
      <c r="K65" s="6"/>
      <c r="L65" s="6"/>
      <c r="M65" s="6"/>
      <c r="N65" s="6"/>
      <c r="O65" s="6"/>
      <c r="P65" s="6"/>
      <c r="Q65" s="6"/>
      <c r="R65" s="6"/>
      <c r="S65" s="6"/>
      <c r="T65" s="6"/>
      <c r="U65" s="6"/>
      <c r="AC65" s="92" t="s">
        <v>112</v>
      </c>
      <c r="AD65" s="92"/>
      <c r="AE65" s="69">
        <f ca="1">AE54-AO54</f>
        <v>-798.57009818883671</v>
      </c>
    </row>
    <row r="66" spans="1:31" x14ac:dyDescent="0.35">
      <c r="A66" s="4"/>
      <c r="B66" s="4"/>
      <c r="C66" s="4"/>
      <c r="D66" s="4"/>
      <c r="E66" s="4"/>
      <c r="F66" s="4"/>
      <c r="G66" s="4"/>
      <c r="H66" s="4"/>
      <c r="I66" s="6"/>
      <c r="J66" s="6"/>
      <c r="K66" s="6"/>
      <c r="L66" s="6"/>
      <c r="M66" s="6"/>
      <c r="N66" s="6"/>
      <c r="O66" s="6"/>
      <c r="P66" s="6"/>
      <c r="Q66" s="6"/>
      <c r="R66" s="6"/>
      <c r="S66" s="6"/>
      <c r="T66" s="6"/>
      <c r="U66" s="6"/>
      <c r="AC66" s="92" t="s">
        <v>113</v>
      </c>
      <c r="AD66" s="92"/>
      <c r="AE66" s="68">
        <f ca="1">AE65/K8</f>
        <v>-22.816288519681049</v>
      </c>
    </row>
    <row r="67" spans="1:31" x14ac:dyDescent="0.35">
      <c r="A67" s="4"/>
      <c r="B67" s="4"/>
      <c r="C67" s="4"/>
      <c r="D67" s="4"/>
      <c r="E67" s="4"/>
      <c r="F67" s="4"/>
      <c r="G67" s="4"/>
      <c r="H67" s="4"/>
      <c r="I67" s="6"/>
      <c r="J67" s="6"/>
      <c r="K67" s="6"/>
      <c r="L67" s="6"/>
      <c r="M67" s="6"/>
      <c r="N67" s="6"/>
      <c r="O67" s="6"/>
      <c r="P67" s="6"/>
      <c r="Q67" s="6"/>
      <c r="R67" s="6"/>
      <c r="S67" s="6"/>
      <c r="T67" s="6"/>
      <c r="U67" s="6"/>
      <c r="AC67" s="92" t="s">
        <v>114</v>
      </c>
      <c r="AD67" s="92"/>
      <c r="AE67" s="69">
        <f ca="1">AJ54-AO54</f>
        <v>-798.57009818883671</v>
      </c>
    </row>
    <row r="68" spans="1:31" x14ac:dyDescent="0.35">
      <c r="A68" s="4"/>
      <c r="B68" s="4"/>
      <c r="C68" s="4"/>
      <c r="D68" s="4"/>
      <c r="E68" s="4"/>
      <c r="F68" s="4"/>
      <c r="G68" s="4"/>
      <c r="H68" s="4"/>
      <c r="I68" s="6"/>
      <c r="J68" s="6"/>
      <c r="K68" s="6"/>
      <c r="L68" s="6"/>
      <c r="M68" s="6"/>
      <c r="N68" s="6"/>
      <c r="O68" s="6"/>
      <c r="P68" s="6"/>
      <c r="Q68" s="6"/>
      <c r="R68" s="6"/>
      <c r="S68" s="6"/>
      <c r="T68" s="6"/>
      <c r="U68" s="6"/>
      <c r="AC68" s="92" t="s">
        <v>115</v>
      </c>
      <c r="AD68" s="92"/>
      <c r="AE68" s="68">
        <f ca="1">AE67/K8</f>
        <v>-22.816288519681049</v>
      </c>
    </row>
    <row r="69" spans="1:31" x14ac:dyDescent="0.35">
      <c r="A69" s="4"/>
      <c r="B69" s="4"/>
      <c r="C69" s="4"/>
      <c r="D69" s="4"/>
      <c r="E69" s="4"/>
      <c r="F69" s="4"/>
      <c r="G69" s="4"/>
      <c r="H69" s="4"/>
      <c r="I69" s="6"/>
      <c r="J69" s="6"/>
      <c r="K69" s="6"/>
      <c r="L69" s="6"/>
      <c r="M69" s="6"/>
      <c r="N69" s="6"/>
      <c r="O69" s="6"/>
      <c r="P69" s="6"/>
      <c r="Q69" s="6"/>
      <c r="R69" s="6"/>
      <c r="S69" s="6"/>
      <c r="T69" s="6"/>
      <c r="U69" s="6"/>
    </row>
    <row r="70" spans="1:31" x14ac:dyDescent="0.35">
      <c r="A70" s="4"/>
      <c r="B70" s="4"/>
      <c r="C70" s="4"/>
      <c r="D70" s="4"/>
      <c r="E70" s="4"/>
      <c r="F70" s="4"/>
      <c r="G70" s="4"/>
      <c r="H70" s="4"/>
      <c r="I70" s="6"/>
      <c r="J70" s="6"/>
      <c r="K70" s="6"/>
      <c r="L70" s="6"/>
      <c r="M70" s="6"/>
      <c r="N70" s="6"/>
      <c r="O70" s="6"/>
      <c r="P70" s="6"/>
      <c r="Q70" s="6"/>
      <c r="R70" s="6"/>
      <c r="S70" s="6"/>
      <c r="T70" s="6"/>
      <c r="U70" s="6"/>
    </row>
    <row r="71" spans="1:31" x14ac:dyDescent="0.35">
      <c r="A71" s="4"/>
      <c r="B71" s="4"/>
      <c r="C71" s="4"/>
      <c r="D71" s="4"/>
      <c r="E71" s="4"/>
      <c r="F71" s="4"/>
      <c r="G71" s="4"/>
      <c r="H71" s="4"/>
      <c r="I71" s="6"/>
      <c r="J71" s="6"/>
      <c r="K71" s="6"/>
      <c r="L71" s="6"/>
      <c r="M71" s="6"/>
      <c r="N71" s="6"/>
      <c r="O71" s="6"/>
      <c r="P71" s="6"/>
      <c r="Q71" s="6"/>
      <c r="R71" s="6"/>
      <c r="S71" s="6"/>
      <c r="T71" s="6"/>
      <c r="U71" s="6"/>
    </row>
    <row r="72" spans="1:31" x14ac:dyDescent="0.35">
      <c r="A72" s="4"/>
      <c r="B72" s="4"/>
      <c r="C72" s="4"/>
      <c r="D72" s="4"/>
      <c r="E72" s="4"/>
      <c r="F72" s="4"/>
      <c r="G72" s="4"/>
      <c r="H72" s="4"/>
      <c r="I72" s="6"/>
      <c r="J72" s="6"/>
      <c r="K72" s="6"/>
      <c r="L72" s="6"/>
      <c r="M72" s="6"/>
      <c r="N72" s="6"/>
      <c r="O72" s="6"/>
      <c r="P72" s="6"/>
      <c r="Q72" s="6"/>
      <c r="R72" s="6"/>
      <c r="S72" s="6"/>
      <c r="T72" s="6"/>
      <c r="U72" s="6"/>
    </row>
    <row r="73" spans="1:31" x14ac:dyDescent="0.35">
      <c r="A73" s="4"/>
      <c r="B73" s="4"/>
      <c r="C73" s="4"/>
      <c r="D73" s="4"/>
      <c r="E73" s="4"/>
      <c r="F73" s="4"/>
      <c r="G73" s="4"/>
      <c r="H73" s="4"/>
      <c r="I73" s="6"/>
      <c r="J73" s="6"/>
      <c r="K73" s="6"/>
      <c r="L73" s="6"/>
      <c r="M73" s="6"/>
      <c r="N73" s="6"/>
      <c r="O73" s="6"/>
      <c r="P73" s="6"/>
      <c r="Q73" s="6"/>
      <c r="R73" s="6"/>
      <c r="S73" s="6"/>
      <c r="T73" s="6"/>
      <c r="U73" s="6"/>
    </row>
    <row r="74" spans="1:31" x14ac:dyDescent="0.35">
      <c r="A74" s="4"/>
      <c r="B74" s="4"/>
      <c r="C74" s="4"/>
      <c r="D74" s="4"/>
      <c r="E74" s="4"/>
      <c r="F74" s="4"/>
      <c r="G74" s="4"/>
      <c r="H74" s="4"/>
      <c r="I74" s="6"/>
      <c r="J74" s="6"/>
      <c r="K74" s="6"/>
      <c r="L74" s="6"/>
      <c r="M74" s="6"/>
      <c r="N74" s="6"/>
      <c r="O74" s="6"/>
      <c r="P74" s="6"/>
      <c r="Q74" s="6"/>
      <c r="R74" s="6"/>
      <c r="S74" s="6"/>
      <c r="T74" s="6"/>
      <c r="U74" s="6"/>
    </row>
    <row r="75" spans="1:31" x14ac:dyDescent="0.35">
      <c r="A75" s="4"/>
      <c r="B75" s="4"/>
      <c r="C75" s="4"/>
      <c r="D75" s="4"/>
      <c r="E75" s="4"/>
      <c r="F75" s="4"/>
      <c r="G75" s="4"/>
      <c r="H75" s="4"/>
      <c r="I75" s="6"/>
      <c r="J75" s="6"/>
      <c r="K75" s="6"/>
      <c r="L75" s="6"/>
      <c r="M75" s="6"/>
      <c r="N75" s="6"/>
      <c r="O75" s="6"/>
      <c r="P75" s="6"/>
      <c r="Q75" s="6"/>
      <c r="R75" s="6"/>
      <c r="S75" s="6"/>
      <c r="T75" s="6"/>
      <c r="U75" s="6"/>
    </row>
    <row r="76" spans="1:31" x14ac:dyDescent="0.35">
      <c r="A76" s="4"/>
      <c r="B76" s="4"/>
      <c r="C76" s="4"/>
      <c r="D76" s="4"/>
      <c r="E76" s="4"/>
      <c r="F76" s="4"/>
      <c r="G76" s="4"/>
      <c r="H76" s="4"/>
      <c r="I76" s="6"/>
      <c r="J76" s="6"/>
      <c r="K76" s="6"/>
      <c r="L76" s="6"/>
      <c r="M76" s="6"/>
      <c r="N76" s="6"/>
      <c r="O76" s="6"/>
      <c r="P76" s="6"/>
      <c r="Q76" s="6"/>
      <c r="R76" s="6"/>
      <c r="S76" s="6"/>
      <c r="T76" s="6"/>
      <c r="U76" s="6"/>
    </row>
    <row r="77" spans="1:31" x14ac:dyDescent="0.35">
      <c r="A77" s="4"/>
      <c r="B77" s="4"/>
      <c r="C77" s="4"/>
      <c r="D77" s="4"/>
      <c r="E77" s="4"/>
      <c r="F77" s="4"/>
      <c r="G77" s="4"/>
      <c r="H77" s="4"/>
      <c r="I77" s="6"/>
      <c r="J77" s="6"/>
      <c r="K77" s="6"/>
      <c r="L77" s="6"/>
      <c r="M77" s="6"/>
      <c r="N77" s="6"/>
      <c r="O77" s="6"/>
      <c r="P77" s="6"/>
      <c r="Q77" s="6"/>
      <c r="R77" s="6"/>
      <c r="S77" s="6"/>
      <c r="T77" s="6"/>
      <c r="U77" s="6"/>
    </row>
    <row r="78" spans="1:31" x14ac:dyDescent="0.35">
      <c r="A78" s="4"/>
      <c r="B78" s="4"/>
      <c r="C78" s="4"/>
      <c r="D78" s="4"/>
      <c r="E78" s="4"/>
      <c r="F78" s="4"/>
      <c r="G78" s="4"/>
      <c r="H78" s="4"/>
      <c r="I78" s="6"/>
      <c r="J78" s="6"/>
      <c r="K78" s="6"/>
      <c r="L78" s="6"/>
      <c r="M78" s="6"/>
      <c r="N78" s="6"/>
      <c r="O78" s="6"/>
      <c r="P78" s="6"/>
      <c r="Q78" s="6"/>
      <c r="R78" s="6"/>
      <c r="S78" s="6"/>
      <c r="T78" s="6"/>
      <c r="U78" s="6"/>
    </row>
    <row r="79" spans="1:31" x14ac:dyDescent="0.35">
      <c r="A79" s="4"/>
      <c r="B79" s="4"/>
      <c r="C79" s="4"/>
      <c r="D79" s="4"/>
      <c r="E79" s="4"/>
      <c r="F79" s="4"/>
      <c r="G79" s="4"/>
      <c r="H79" s="4"/>
      <c r="I79" s="6"/>
      <c r="J79" s="6"/>
      <c r="K79" s="6"/>
      <c r="L79" s="6"/>
      <c r="M79" s="6"/>
      <c r="N79" s="6"/>
      <c r="O79" s="6"/>
      <c r="P79" s="6"/>
      <c r="Q79" s="6"/>
      <c r="R79" s="6"/>
      <c r="S79" s="6"/>
      <c r="T79" s="6"/>
      <c r="U79" s="6"/>
    </row>
    <row r="80" spans="1:31" x14ac:dyDescent="0.35">
      <c r="A80" s="4"/>
      <c r="B80" s="4"/>
      <c r="C80" s="4"/>
      <c r="D80" s="4"/>
      <c r="E80" s="4"/>
      <c r="F80" s="4"/>
      <c r="G80" s="4"/>
      <c r="H80" s="4"/>
      <c r="I80" s="6"/>
      <c r="J80" s="6"/>
      <c r="K80" s="6"/>
      <c r="L80" s="6"/>
      <c r="M80" s="6"/>
      <c r="N80" s="6"/>
      <c r="O80" s="6"/>
      <c r="P80" s="6"/>
      <c r="Q80" s="6"/>
      <c r="R80" s="6"/>
      <c r="S80" s="6"/>
      <c r="T80" s="6"/>
      <c r="U80" s="6"/>
    </row>
    <row r="81" spans="1:21" x14ac:dyDescent="0.35">
      <c r="A81" s="4"/>
      <c r="B81" s="4"/>
      <c r="C81" s="4"/>
      <c r="D81" s="4"/>
      <c r="E81" s="4"/>
      <c r="F81" s="4"/>
      <c r="G81" s="4"/>
      <c r="H81" s="4"/>
      <c r="I81" s="6"/>
      <c r="J81" s="6"/>
      <c r="K81" s="6"/>
      <c r="L81" s="6"/>
      <c r="M81" s="6"/>
      <c r="N81" s="6"/>
      <c r="O81" s="6"/>
      <c r="P81" s="6"/>
      <c r="Q81" s="6"/>
      <c r="R81" s="6"/>
      <c r="S81" s="6"/>
      <c r="T81" s="6"/>
      <c r="U81" s="6"/>
    </row>
    <row r="82" spans="1:21" x14ac:dyDescent="0.35">
      <c r="A82" s="4"/>
      <c r="B82" s="4"/>
      <c r="C82" s="4"/>
      <c r="D82" s="4"/>
      <c r="E82" s="4"/>
      <c r="F82" s="4"/>
      <c r="G82" s="4"/>
      <c r="H82" s="4"/>
      <c r="I82" s="6"/>
      <c r="J82" s="6"/>
      <c r="K82" s="6"/>
      <c r="L82" s="6"/>
      <c r="M82" s="6"/>
      <c r="N82" s="6"/>
      <c r="O82" s="6"/>
      <c r="P82" s="6"/>
      <c r="Q82" s="6"/>
      <c r="R82" s="6"/>
      <c r="S82" s="6"/>
      <c r="T82" s="6"/>
      <c r="U82" s="6"/>
    </row>
    <row r="83" spans="1:21" x14ac:dyDescent="0.35">
      <c r="A83" s="4"/>
      <c r="B83" s="4"/>
      <c r="C83" s="4"/>
      <c r="D83" s="4"/>
      <c r="E83" s="4"/>
      <c r="F83" s="4"/>
      <c r="G83" s="4"/>
      <c r="H83" s="4"/>
      <c r="I83" s="6"/>
      <c r="J83" s="6"/>
      <c r="K83" s="6"/>
      <c r="L83" s="6"/>
      <c r="M83" s="6"/>
      <c r="N83" s="6"/>
      <c r="O83" s="6"/>
      <c r="P83" s="6"/>
      <c r="Q83" s="6"/>
      <c r="R83" s="6"/>
      <c r="S83" s="6"/>
      <c r="T83" s="6"/>
      <c r="U83" s="6"/>
    </row>
    <row r="84" spans="1:21" x14ac:dyDescent="0.35">
      <c r="A84" s="4"/>
      <c r="B84" s="4"/>
      <c r="C84" s="4"/>
      <c r="D84" s="4"/>
      <c r="E84" s="4"/>
      <c r="F84" s="4"/>
      <c r="G84" s="4"/>
      <c r="H84" s="4"/>
      <c r="I84" s="6"/>
      <c r="J84" s="6"/>
      <c r="K84" s="6"/>
      <c r="L84" s="6"/>
      <c r="M84" s="6"/>
      <c r="N84" s="6"/>
      <c r="O84" s="6"/>
      <c r="P84" s="6"/>
      <c r="Q84" s="6"/>
      <c r="R84" s="6"/>
      <c r="S84" s="6"/>
      <c r="T84" s="6"/>
      <c r="U84" s="6"/>
    </row>
    <row r="85" spans="1:21" x14ac:dyDescent="0.35">
      <c r="A85" s="4"/>
      <c r="B85" s="4"/>
      <c r="C85" s="4"/>
      <c r="D85" s="4"/>
      <c r="E85" s="4"/>
      <c r="F85" s="4"/>
      <c r="G85" s="4"/>
      <c r="H85" s="4"/>
      <c r="I85" s="6"/>
      <c r="J85" s="6"/>
      <c r="K85" s="6"/>
      <c r="L85" s="6"/>
      <c r="M85" s="6"/>
      <c r="N85" s="6"/>
      <c r="O85" s="6"/>
      <c r="P85" s="6"/>
      <c r="Q85" s="6"/>
      <c r="R85" s="6"/>
      <c r="S85" s="6"/>
      <c r="T85" s="6"/>
      <c r="U85" s="6"/>
    </row>
    <row r="86" spans="1:21" x14ac:dyDescent="0.35">
      <c r="A86" s="4"/>
      <c r="B86" s="4"/>
      <c r="C86" s="4"/>
      <c r="D86" s="4"/>
      <c r="E86" s="4"/>
      <c r="F86" s="4"/>
      <c r="G86" s="4"/>
      <c r="H86" s="4"/>
      <c r="I86" s="6"/>
      <c r="J86" s="6"/>
      <c r="K86" s="6"/>
      <c r="L86" s="6"/>
      <c r="M86" s="6"/>
      <c r="N86" s="6"/>
      <c r="O86" s="6"/>
      <c r="P86" s="6"/>
      <c r="Q86" s="6"/>
      <c r="R86" s="6"/>
      <c r="S86" s="6"/>
      <c r="T86" s="6"/>
      <c r="U86" s="6"/>
    </row>
    <row r="87" spans="1:21" x14ac:dyDescent="0.35">
      <c r="A87" s="4"/>
      <c r="B87" s="4"/>
      <c r="C87" s="4"/>
      <c r="D87" s="4"/>
      <c r="E87" s="4"/>
      <c r="F87" s="4"/>
      <c r="G87" s="4"/>
      <c r="H87" s="4"/>
      <c r="I87" s="6"/>
      <c r="J87" s="6"/>
      <c r="K87" s="6"/>
      <c r="L87" s="6"/>
      <c r="M87" s="6"/>
      <c r="N87" s="6"/>
      <c r="O87" s="6"/>
      <c r="P87" s="6"/>
      <c r="Q87" s="6"/>
      <c r="R87" s="6"/>
      <c r="S87" s="6"/>
      <c r="T87" s="6"/>
      <c r="U87" s="6"/>
    </row>
    <row r="88" spans="1:21" x14ac:dyDescent="0.35">
      <c r="A88" s="4"/>
      <c r="B88" s="4"/>
      <c r="C88" s="4"/>
      <c r="D88" s="4"/>
      <c r="E88" s="4"/>
      <c r="F88" s="4"/>
      <c r="G88" s="4"/>
      <c r="H88" s="4"/>
      <c r="I88" s="6"/>
      <c r="J88" s="6"/>
      <c r="K88" s="6"/>
      <c r="L88" s="6"/>
      <c r="M88" s="6"/>
      <c r="N88" s="6"/>
      <c r="O88" s="6"/>
      <c r="P88" s="6"/>
      <c r="Q88" s="6"/>
      <c r="R88" s="6"/>
      <c r="S88" s="6"/>
      <c r="T88" s="6"/>
      <c r="U88" s="6"/>
    </row>
    <row r="89" spans="1:21" x14ac:dyDescent="0.35">
      <c r="A89" s="4"/>
      <c r="B89" s="4"/>
      <c r="C89" s="4"/>
      <c r="D89" s="4"/>
      <c r="E89" s="4"/>
      <c r="F89" s="4"/>
      <c r="G89" s="4"/>
      <c r="H89" s="4"/>
      <c r="I89" s="6"/>
      <c r="J89" s="6"/>
      <c r="K89" s="6"/>
      <c r="L89" s="6"/>
      <c r="M89" s="6"/>
      <c r="N89" s="6"/>
      <c r="O89" s="6"/>
      <c r="P89" s="6"/>
      <c r="Q89" s="6"/>
      <c r="R89" s="6"/>
      <c r="S89" s="6"/>
      <c r="T89" s="6"/>
      <c r="U89" s="6"/>
    </row>
    <row r="90" spans="1:21" x14ac:dyDescent="0.35">
      <c r="A90" s="4"/>
      <c r="B90" s="4"/>
      <c r="C90" s="4"/>
      <c r="D90" s="4"/>
      <c r="E90" s="4"/>
      <c r="F90" s="4"/>
      <c r="G90" s="4"/>
      <c r="H90" s="4"/>
      <c r="I90" s="6"/>
      <c r="J90" s="6"/>
      <c r="K90" s="6"/>
      <c r="L90" s="6"/>
      <c r="M90" s="6"/>
      <c r="N90" s="6"/>
      <c r="O90" s="6"/>
      <c r="P90" s="6"/>
      <c r="Q90" s="6"/>
      <c r="R90" s="6"/>
      <c r="S90" s="6"/>
      <c r="T90" s="6"/>
      <c r="U90" s="6"/>
    </row>
    <row r="91" spans="1:21" x14ac:dyDescent="0.35">
      <c r="A91" s="4"/>
      <c r="B91" s="4"/>
      <c r="C91" s="4"/>
      <c r="D91" s="4"/>
      <c r="E91" s="4"/>
      <c r="F91" s="4"/>
      <c r="G91" s="4"/>
      <c r="H91" s="4"/>
      <c r="I91" s="6"/>
      <c r="J91" s="6"/>
      <c r="K91" s="6"/>
      <c r="L91" s="6"/>
      <c r="M91" s="6"/>
      <c r="N91" s="6"/>
      <c r="O91" s="6"/>
      <c r="P91" s="6"/>
      <c r="Q91" s="6"/>
      <c r="R91" s="6"/>
      <c r="S91" s="6"/>
      <c r="T91" s="6"/>
      <c r="U91" s="6"/>
    </row>
    <row r="92" spans="1:21" x14ac:dyDescent="0.35">
      <c r="A92" s="4"/>
      <c r="B92" s="4"/>
      <c r="C92" s="4"/>
      <c r="D92" s="4"/>
      <c r="E92" s="4"/>
      <c r="F92" s="4"/>
      <c r="G92" s="4"/>
      <c r="H92" s="4"/>
      <c r="I92" s="6"/>
      <c r="J92" s="6"/>
      <c r="K92" s="6"/>
      <c r="L92" s="6"/>
      <c r="M92" s="6"/>
      <c r="N92" s="6"/>
      <c r="O92" s="6"/>
      <c r="P92" s="6"/>
      <c r="Q92" s="6"/>
      <c r="R92" s="6"/>
      <c r="S92" s="6"/>
      <c r="T92" s="6"/>
      <c r="U92" s="6"/>
    </row>
    <row r="93" spans="1:21" x14ac:dyDescent="0.35">
      <c r="A93" s="4"/>
      <c r="B93" s="4"/>
      <c r="C93" s="4"/>
      <c r="D93" s="4"/>
      <c r="E93" s="4"/>
      <c r="F93" s="4"/>
      <c r="G93" s="4"/>
      <c r="H93" s="4"/>
      <c r="I93" s="6"/>
      <c r="J93" s="6"/>
      <c r="K93" s="6"/>
      <c r="L93" s="6"/>
      <c r="M93" s="6"/>
      <c r="N93" s="6"/>
      <c r="O93" s="6"/>
      <c r="P93" s="6"/>
      <c r="Q93" s="6"/>
      <c r="R93" s="6"/>
      <c r="S93" s="6"/>
      <c r="T93" s="6"/>
      <c r="U93" s="6"/>
    </row>
    <row r="94" spans="1:21" x14ac:dyDescent="0.35">
      <c r="A94" s="4"/>
      <c r="B94" s="4"/>
      <c r="C94" s="4"/>
      <c r="D94" s="4"/>
      <c r="E94" s="4"/>
      <c r="F94" s="4"/>
      <c r="G94" s="4"/>
      <c r="H94" s="4"/>
      <c r="I94" s="6"/>
      <c r="J94" s="6"/>
      <c r="K94" s="6"/>
      <c r="L94" s="6"/>
      <c r="M94" s="6"/>
      <c r="N94" s="6"/>
      <c r="O94" s="6"/>
      <c r="P94" s="6"/>
      <c r="Q94" s="6"/>
      <c r="R94" s="6"/>
      <c r="S94" s="6"/>
      <c r="T94" s="6"/>
      <c r="U94" s="6"/>
    </row>
    <row r="95" spans="1:21" x14ac:dyDescent="0.35">
      <c r="A95" s="4"/>
      <c r="B95" s="4"/>
      <c r="C95" s="4"/>
      <c r="D95" s="4"/>
      <c r="E95" s="4"/>
      <c r="F95" s="4"/>
      <c r="G95" s="4"/>
      <c r="H95" s="4"/>
      <c r="I95" s="6"/>
      <c r="J95" s="6"/>
      <c r="K95" s="6"/>
      <c r="L95" s="6"/>
      <c r="M95" s="6"/>
      <c r="N95" s="6"/>
      <c r="O95" s="6"/>
      <c r="P95" s="6"/>
      <c r="Q95" s="6"/>
      <c r="R95" s="6"/>
      <c r="S95" s="6"/>
      <c r="T95" s="6"/>
      <c r="U95" s="6"/>
    </row>
    <row r="96" spans="1:21" x14ac:dyDescent="0.35">
      <c r="A96" s="4"/>
      <c r="B96" s="4"/>
      <c r="C96" s="4"/>
      <c r="D96" s="4"/>
      <c r="E96" s="4"/>
      <c r="F96" s="4"/>
      <c r="G96" s="4"/>
      <c r="H96" s="4"/>
      <c r="I96" s="6"/>
      <c r="J96" s="6"/>
      <c r="K96" s="6"/>
      <c r="L96" s="6"/>
      <c r="M96" s="6"/>
      <c r="N96" s="6"/>
      <c r="O96" s="6"/>
      <c r="P96" s="6"/>
      <c r="Q96" s="6"/>
      <c r="R96" s="6"/>
      <c r="S96" s="6"/>
      <c r="T96" s="6"/>
      <c r="U96" s="6"/>
    </row>
    <row r="97" spans="1:21" x14ac:dyDescent="0.35">
      <c r="A97" s="4"/>
      <c r="B97" s="4"/>
      <c r="C97" s="4"/>
      <c r="D97" s="4"/>
      <c r="E97" s="4"/>
      <c r="F97" s="4"/>
      <c r="G97" s="4"/>
      <c r="H97" s="4"/>
      <c r="I97" s="6"/>
      <c r="J97" s="6"/>
      <c r="K97" s="6"/>
      <c r="L97" s="6"/>
      <c r="M97" s="6"/>
      <c r="N97" s="6"/>
      <c r="O97" s="6"/>
      <c r="P97" s="6"/>
      <c r="Q97" s="6"/>
      <c r="R97" s="6"/>
      <c r="S97" s="6"/>
      <c r="T97" s="6"/>
      <c r="U97" s="6"/>
    </row>
    <row r="98" spans="1:21" x14ac:dyDescent="0.35">
      <c r="A98" s="4"/>
      <c r="B98" s="4"/>
      <c r="C98" s="4"/>
      <c r="D98" s="4"/>
      <c r="E98" s="4"/>
      <c r="F98" s="4"/>
      <c r="G98" s="4"/>
      <c r="H98" s="4"/>
      <c r="I98" s="6"/>
      <c r="J98" s="6"/>
      <c r="K98" s="6"/>
      <c r="L98" s="6"/>
      <c r="M98" s="6"/>
      <c r="N98" s="6"/>
      <c r="O98" s="6"/>
      <c r="P98" s="6"/>
      <c r="Q98" s="6"/>
      <c r="R98" s="6"/>
      <c r="S98" s="6"/>
      <c r="T98" s="6"/>
      <c r="U98" s="6"/>
    </row>
    <row r="99" spans="1:21" x14ac:dyDescent="0.35">
      <c r="A99" s="4"/>
      <c r="B99" s="4"/>
      <c r="C99" s="4"/>
      <c r="D99" s="4"/>
      <c r="E99" s="4"/>
      <c r="F99" s="4"/>
      <c r="G99" s="4"/>
      <c r="H99" s="4"/>
      <c r="I99" s="6"/>
      <c r="J99" s="6"/>
      <c r="K99" s="6"/>
      <c r="L99" s="6"/>
      <c r="M99" s="6"/>
      <c r="N99" s="6"/>
      <c r="O99" s="6"/>
      <c r="P99" s="6"/>
      <c r="Q99" s="6"/>
      <c r="R99" s="6"/>
      <c r="S99" s="6"/>
      <c r="T99" s="6"/>
      <c r="U99" s="6"/>
    </row>
    <row r="100" spans="1:21" x14ac:dyDescent="0.35">
      <c r="A100" s="4"/>
      <c r="B100" s="4"/>
      <c r="C100" s="4"/>
      <c r="D100" s="4"/>
      <c r="E100" s="4"/>
      <c r="F100" s="4"/>
      <c r="G100" s="4"/>
      <c r="H100" s="4"/>
      <c r="I100" s="6"/>
      <c r="J100" s="6"/>
      <c r="K100" s="6"/>
      <c r="L100" s="6"/>
      <c r="M100" s="6"/>
      <c r="N100" s="6"/>
      <c r="O100" s="6"/>
      <c r="P100" s="6"/>
      <c r="Q100" s="6"/>
      <c r="R100" s="6"/>
      <c r="S100" s="6"/>
      <c r="T100" s="6"/>
      <c r="U100" s="6"/>
    </row>
    <row r="101" spans="1:21" x14ac:dyDescent="0.35">
      <c r="A101" s="4"/>
      <c r="B101" s="4"/>
      <c r="C101" s="4"/>
      <c r="D101" s="4"/>
      <c r="E101" s="4"/>
      <c r="F101" s="4"/>
      <c r="G101" s="4"/>
      <c r="H101" s="4"/>
      <c r="I101" s="6"/>
      <c r="J101" s="6"/>
      <c r="K101" s="6"/>
      <c r="L101" s="6"/>
      <c r="M101" s="6"/>
      <c r="N101" s="6"/>
      <c r="O101" s="6"/>
      <c r="P101" s="6"/>
      <c r="Q101" s="6"/>
      <c r="R101" s="6"/>
      <c r="S101" s="6"/>
      <c r="T101" s="6"/>
      <c r="U101" s="6"/>
    </row>
    <row r="102" spans="1:21" x14ac:dyDescent="0.35">
      <c r="A102" s="4"/>
      <c r="B102" s="4"/>
      <c r="C102" s="4"/>
      <c r="D102" s="4"/>
      <c r="E102" s="4"/>
      <c r="F102" s="4"/>
      <c r="G102" s="4"/>
      <c r="H102" s="4"/>
      <c r="I102" s="6"/>
      <c r="J102" s="6"/>
      <c r="K102" s="6"/>
      <c r="L102" s="6"/>
      <c r="M102" s="6"/>
      <c r="N102" s="6"/>
      <c r="O102" s="6"/>
      <c r="P102" s="6"/>
      <c r="Q102" s="6"/>
      <c r="R102" s="6"/>
      <c r="S102" s="6"/>
      <c r="T102" s="6"/>
      <c r="U102" s="6"/>
    </row>
    <row r="103" spans="1:21" x14ac:dyDescent="0.35">
      <c r="A103" s="4"/>
      <c r="B103" s="4"/>
      <c r="C103" s="4"/>
      <c r="D103" s="4"/>
      <c r="E103" s="4"/>
      <c r="F103" s="4"/>
      <c r="G103" s="4"/>
      <c r="H103" s="4"/>
      <c r="I103" s="6"/>
      <c r="J103" s="6"/>
      <c r="K103" s="6"/>
      <c r="L103" s="6"/>
      <c r="M103" s="6"/>
      <c r="N103" s="6"/>
      <c r="O103" s="6"/>
      <c r="P103" s="6"/>
      <c r="Q103" s="6"/>
      <c r="R103" s="6"/>
      <c r="S103" s="6"/>
      <c r="T103" s="6"/>
      <c r="U103" s="6"/>
    </row>
    <row r="104" spans="1:21" x14ac:dyDescent="0.35">
      <c r="A104" s="4"/>
      <c r="B104" s="4"/>
      <c r="C104" s="4"/>
      <c r="D104" s="4"/>
      <c r="E104" s="4"/>
      <c r="F104" s="4"/>
      <c r="G104" s="4"/>
      <c r="H104" s="4"/>
      <c r="I104" s="6"/>
      <c r="J104" s="6"/>
      <c r="K104" s="6"/>
      <c r="L104" s="6"/>
      <c r="M104" s="6"/>
      <c r="N104" s="6"/>
      <c r="O104" s="6"/>
      <c r="P104" s="6"/>
      <c r="Q104" s="6"/>
      <c r="R104" s="6"/>
      <c r="S104" s="6"/>
      <c r="T104" s="6"/>
      <c r="U104" s="6"/>
    </row>
    <row r="105" spans="1:21" x14ac:dyDescent="0.35">
      <c r="A105" s="4"/>
      <c r="B105" s="4"/>
      <c r="C105" s="4"/>
      <c r="D105" s="4"/>
      <c r="E105" s="4"/>
      <c r="F105" s="4"/>
      <c r="G105" s="4"/>
      <c r="H105" s="4"/>
      <c r="I105" s="6"/>
      <c r="J105" s="6"/>
      <c r="K105" s="6"/>
      <c r="L105" s="6"/>
      <c r="M105" s="6"/>
      <c r="N105" s="6"/>
      <c r="O105" s="6"/>
      <c r="P105" s="6"/>
      <c r="Q105" s="6"/>
      <c r="R105" s="6"/>
      <c r="S105" s="6"/>
      <c r="T105" s="6"/>
      <c r="U105" s="6"/>
    </row>
    <row r="106" spans="1:21" x14ac:dyDescent="0.35">
      <c r="A106" s="4"/>
      <c r="B106" s="4"/>
      <c r="C106" s="4"/>
      <c r="D106" s="4"/>
      <c r="E106" s="4"/>
      <c r="F106" s="4"/>
      <c r="G106" s="4"/>
      <c r="H106" s="4"/>
      <c r="I106" s="6"/>
      <c r="J106" s="6"/>
      <c r="K106" s="6"/>
      <c r="L106" s="6"/>
      <c r="M106" s="6"/>
      <c r="N106" s="6"/>
      <c r="O106" s="6"/>
      <c r="P106" s="6"/>
      <c r="Q106" s="6"/>
      <c r="R106" s="6"/>
      <c r="S106" s="6"/>
      <c r="T106" s="6"/>
      <c r="U106" s="6"/>
    </row>
    <row r="107" spans="1:21" x14ac:dyDescent="0.35">
      <c r="A107" s="4"/>
      <c r="B107" s="4"/>
      <c r="C107" s="4"/>
      <c r="D107" s="4"/>
      <c r="E107" s="4"/>
      <c r="F107" s="4"/>
      <c r="G107" s="4"/>
      <c r="H107" s="4"/>
      <c r="I107" s="6"/>
      <c r="J107" s="6"/>
      <c r="K107" s="6"/>
      <c r="L107" s="6"/>
      <c r="M107" s="6"/>
      <c r="N107" s="6"/>
      <c r="O107" s="6"/>
      <c r="P107" s="6"/>
      <c r="Q107" s="6"/>
      <c r="R107" s="6"/>
      <c r="S107" s="6"/>
      <c r="T107" s="6"/>
      <c r="U107" s="6"/>
    </row>
    <row r="108" spans="1:21" x14ac:dyDescent="0.35">
      <c r="A108" s="4"/>
      <c r="B108" s="4"/>
      <c r="C108" s="4"/>
      <c r="D108" s="4"/>
      <c r="E108" s="4"/>
      <c r="F108" s="4"/>
      <c r="G108" s="4"/>
      <c r="H108" s="4"/>
      <c r="I108" s="6"/>
      <c r="J108" s="6"/>
      <c r="K108" s="6"/>
      <c r="L108" s="6"/>
      <c r="M108" s="6"/>
      <c r="N108" s="6"/>
      <c r="O108" s="6"/>
      <c r="P108" s="6"/>
      <c r="Q108" s="6"/>
      <c r="R108" s="6"/>
      <c r="S108" s="6"/>
      <c r="T108" s="6"/>
      <c r="U108" s="6"/>
    </row>
    <row r="109" spans="1:21" x14ac:dyDescent="0.35">
      <c r="A109" s="4"/>
      <c r="B109" s="4"/>
      <c r="C109" s="4"/>
      <c r="D109" s="4"/>
      <c r="E109" s="4"/>
      <c r="F109" s="4"/>
      <c r="G109" s="4"/>
      <c r="H109" s="4"/>
      <c r="I109" s="6"/>
      <c r="J109" s="6"/>
      <c r="K109" s="6"/>
      <c r="L109" s="6"/>
      <c r="M109" s="6"/>
      <c r="N109" s="6"/>
      <c r="O109" s="6"/>
      <c r="P109" s="6"/>
      <c r="Q109" s="6"/>
      <c r="R109" s="6"/>
      <c r="S109" s="6"/>
      <c r="T109" s="6"/>
      <c r="U109" s="6"/>
    </row>
    <row r="110" spans="1:21" x14ac:dyDescent="0.35">
      <c r="A110" s="4"/>
      <c r="B110" s="4"/>
      <c r="C110" s="4"/>
      <c r="D110" s="4"/>
      <c r="E110" s="4"/>
      <c r="F110" s="4"/>
      <c r="G110" s="4"/>
      <c r="H110" s="4"/>
      <c r="I110" s="6"/>
      <c r="J110" s="6"/>
      <c r="K110" s="6"/>
      <c r="L110" s="6"/>
      <c r="M110" s="6"/>
      <c r="N110" s="6"/>
      <c r="O110" s="6"/>
      <c r="P110" s="6"/>
      <c r="Q110" s="6"/>
      <c r="R110" s="6"/>
      <c r="S110" s="6"/>
      <c r="T110" s="6"/>
      <c r="U110" s="6"/>
    </row>
    <row r="111" spans="1:21" x14ac:dyDescent="0.35">
      <c r="A111" s="4"/>
      <c r="B111" s="4"/>
      <c r="C111" s="4"/>
      <c r="D111" s="4"/>
      <c r="E111" s="4"/>
      <c r="F111" s="4"/>
      <c r="G111" s="4"/>
      <c r="H111" s="4"/>
      <c r="I111" s="6"/>
      <c r="J111" s="6"/>
      <c r="K111" s="6"/>
      <c r="L111" s="6"/>
      <c r="M111" s="6"/>
      <c r="N111" s="6"/>
      <c r="O111" s="6"/>
      <c r="P111" s="6"/>
      <c r="Q111" s="6"/>
      <c r="R111" s="6"/>
      <c r="S111" s="6"/>
      <c r="T111" s="6"/>
      <c r="U111" s="6"/>
    </row>
    <row r="112" spans="1:21" x14ac:dyDescent="0.35">
      <c r="A112" s="4"/>
      <c r="B112" s="4"/>
      <c r="C112" s="4"/>
      <c r="D112" s="4"/>
      <c r="E112" s="4"/>
      <c r="F112" s="4"/>
      <c r="G112" s="4"/>
      <c r="H112" s="4"/>
      <c r="I112" s="6"/>
      <c r="J112" s="6"/>
      <c r="K112" s="6"/>
      <c r="L112" s="6"/>
      <c r="M112" s="6"/>
      <c r="N112" s="6"/>
      <c r="O112" s="6"/>
      <c r="P112" s="6"/>
      <c r="Q112" s="6"/>
      <c r="R112" s="6"/>
      <c r="S112" s="6"/>
      <c r="T112" s="6"/>
      <c r="U112" s="6"/>
    </row>
    <row r="113" spans="1:21" x14ac:dyDescent="0.35">
      <c r="A113" s="4"/>
      <c r="B113" s="4"/>
      <c r="C113" s="4"/>
      <c r="D113" s="4"/>
      <c r="E113" s="4"/>
      <c r="F113" s="4"/>
      <c r="G113" s="4"/>
      <c r="H113" s="4"/>
      <c r="I113" s="6"/>
      <c r="J113" s="6"/>
      <c r="K113" s="6"/>
      <c r="L113" s="6"/>
      <c r="M113" s="6"/>
      <c r="N113" s="6"/>
      <c r="O113" s="6"/>
      <c r="P113" s="6"/>
      <c r="Q113" s="6"/>
      <c r="R113" s="6"/>
      <c r="S113" s="6"/>
      <c r="T113" s="6"/>
      <c r="U113" s="6"/>
    </row>
    <row r="114" spans="1:21" x14ac:dyDescent="0.35">
      <c r="A114" s="4"/>
      <c r="B114" s="4"/>
      <c r="C114" s="4"/>
      <c r="D114" s="4"/>
      <c r="E114" s="4"/>
      <c r="F114" s="4"/>
      <c r="G114" s="4"/>
      <c r="H114" s="4"/>
      <c r="I114" s="6"/>
      <c r="J114" s="6"/>
      <c r="K114" s="6"/>
      <c r="L114" s="6"/>
      <c r="M114" s="6"/>
      <c r="N114" s="6"/>
      <c r="O114" s="6"/>
      <c r="P114" s="6"/>
      <c r="Q114" s="6"/>
      <c r="R114" s="6"/>
      <c r="S114" s="6"/>
      <c r="T114" s="6"/>
      <c r="U114" s="6"/>
    </row>
    <row r="115" spans="1:21" x14ac:dyDescent="0.35">
      <c r="A115" s="4"/>
      <c r="B115" s="4"/>
      <c r="C115" s="4"/>
      <c r="D115" s="4"/>
      <c r="E115" s="4"/>
      <c r="F115" s="4"/>
      <c r="G115" s="4"/>
      <c r="H115" s="4"/>
      <c r="I115" s="6"/>
      <c r="J115" s="6"/>
      <c r="K115" s="6"/>
      <c r="L115" s="6"/>
      <c r="M115" s="6"/>
      <c r="N115" s="6"/>
      <c r="O115" s="6"/>
      <c r="P115" s="6"/>
      <c r="Q115" s="6"/>
      <c r="R115" s="6"/>
      <c r="S115" s="6"/>
      <c r="T115" s="6"/>
      <c r="U115" s="6"/>
    </row>
    <row r="116" spans="1:21" x14ac:dyDescent="0.35">
      <c r="A116" s="4"/>
      <c r="B116" s="4"/>
      <c r="C116" s="4"/>
      <c r="D116" s="4"/>
      <c r="E116" s="4"/>
      <c r="F116" s="4"/>
      <c r="G116" s="4"/>
      <c r="H116" s="4"/>
      <c r="I116" s="6"/>
      <c r="J116" s="6"/>
      <c r="K116" s="6"/>
      <c r="L116" s="6"/>
      <c r="M116" s="6"/>
      <c r="N116" s="6"/>
      <c r="O116" s="6"/>
      <c r="P116" s="6"/>
      <c r="Q116" s="6"/>
      <c r="R116" s="6"/>
      <c r="S116" s="6"/>
      <c r="T116" s="6"/>
      <c r="U116" s="6"/>
    </row>
    <row r="117" spans="1:21" x14ac:dyDescent="0.35">
      <c r="A117" s="4"/>
      <c r="B117" s="4"/>
      <c r="C117" s="4"/>
      <c r="D117" s="4"/>
      <c r="E117" s="4"/>
      <c r="F117" s="4"/>
      <c r="G117" s="4"/>
      <c r="H117" s="4"/>
      <c r="I117" s="6"/>
      <c r="J117" s="6"/>
      <c r="K117" s="6"/>
      <c r="L117" s="6"/>
      <c r="M117" s="6"/>
      <c r="N117" s="6"/>
      <c r="O117" s="6"/>
      <c r="P117" s="6"/>
      <c r="Q117" s="6"/>
      <c r="R117" s="6"/>
      <c r="S117" s="6"/>
      <c r="T117" s="6"/>
      <c r="U117" s="6"/>
    </row>
    <row r="118" spans="1:21" x14ac:dyDescent="0.35">
      <c r="A118" s="4"/>
      <c r="B118" s="4"/>
      <c r="C118" s="4"/>
      <c r="D118" s="4"/>
      <c r="E118" s="4"/>
      <c r="F118" s="4"/>
      <c r="G118" s="4"/>
      <c r="H118" s="4"/>
      <c r="I118" s="6"/>
      <c r="J118" s="6"/>
      <c r="K118" s="6"/>
      <c r="L118" s="6"/>
      <c r="M118" s="6"/>
      <c r="N118" s="6"/>
      <c r="O118" s="6"/>
      <c r="P118" s="6"/>
      <c r="Q118" s="6"/>
      <c r="R118" s="6"/>
      <c r="S118" s="6"/>
      <c r="T118" s="6"/>
      <c r="U118" s="6"/>
    </row>
    <row r="119" spans="1:21" x14ac:dyDescent="0.35">
      <c r="A119" s="4"/>
      <c r="B119" s="4"/>
      <c r="C119" s="4"/>
      <c r="D119" s="4"/>
      <c r="E119" s="4"/>
      <c r="F119" s="4"/>
      <c r="G119" s="4"/>
      <c r="H119" s="4"/>
      <c r="I119" s="6"/>
      <c r="J119" s="6"/>
      <c r="K119" s="6"/>
      <c r="L119" s="6"/>
      <c r="M119" s="6"/>
      <c r="N119" s="6"/>
      <c r="O119" s="6"/>
      <c r="P119" s="6"/>
      <c r="Q119" s="6"/>
      <c r="R119" s="6"/>
      <c r="S119" s="6"/>
      <c r="T119" s="6"/>
      <c r="U119" s="6"/>
    </row>
    <row r="120" spans="1:21" x14ac:dyDescent="0.35">
      <c r="A120" s="4"/>
      <c r="B120" s="4"/>
      <c r="C120" s="4"/>
      <c r="D120" s="4"/>
      <c r="E120" s="4"/>
      <c r="F120" s="4"/>
      <c r="G120" s="4"/>
      <c r="H120" s="4"/>
      <c r="I120" s="6"/>
      <c r="J120" s="6"/>
      <c r="K120" s="6"/>
      <c r="L120" s="6"/>
      <c r="M120" s="6"/>
      <c r="N120" s="6"/>
      <c r="O120" s="6"/>
      <c r="P120" s="6"/>
      <c r="Q120" s="6"/>
      <c r="R120" s="6"/>
      <c r="S120" s="6"/>
      <c r="T120" s="6"/>
      <c r="U120" s="6"/>
    </row>
    <row r="121" spans="1:21" x14ac:dyDescent="0.35">
      <c r="A121" s="4"/>
      <c r="B121" s="4"/>
      <c r="C121" s="4"/>
      <c r="D121" s="4"/>
      <c r="E121" s="4"/>
      <c r="F121" s="4"/>
      <c r="G121" s="4"/>
      <c r="H121" s="4"/>
      <c r="I121" s="6"/>
      <c r="J121" s="6"/>
      <c r="K121" s="6"/>
      <c r="L121" s="6"/>
      <c r="M121" s="6"/>
      <c r="N121" s="6"/>
      <c r="O121" s="6"/>
      <c r="P121" s="6"/>
      <c r="Q121" s="6"/>
      <c r="R121" s="6"/>
      <c r="S121" s="6"/>
      <c r="T121" s="6"/>
      <c r="U121" s="6"/>
    </row>
    <row r="122" spans="1:21" x14ac:dyDescent="0.35">
      <c r="A122" s="4"/>
      <c r="B122" s="4"/>
      <c r="C122" s="4"/>
      <c r="D122" s="4"/>
      <c r="E122" s="4"/>
      <c r="F122" s="4"/>
      <c r="G122" s="4"/>
      <c r="H122" s="4"/>
      <c r="I122" s="6"/>
      <c r="J122" s="6"/>
      <c r="K122" s="6"/>
      <c r="L122" s="6"/>
      <c r="M122" s="6"/>
      <c r="N122" s="6"/>
      <c r="O122" s="6"/>
      <c r="P122" s="6"/>
      <c r="Q122" s="6"/>
      <c r="R122" s="6"/>
      <c r="S122" s="6"/>
      <c r="T122" s="6"/>
      <c r="U122" s="6"/>
    </row>
    <row r="123" spans="1:21" x14ac:dyDescent="0.35">
      <c r="A123" s="4"/>
      <c r="B123" s="4"/>
      <c r="C123" s="4"/>
      <c r="D123" s="4"/>
      <c r="E123" s="4"/>
      <c r="F123" s="4"/>
      <c r="G123" s="4"/>
      <c r="H123" s="4"/>
      <c r="I123" s="6"/>
      <c r="J123" s="6"/>
      <c r="K123" s="6"/>
      <c r="L123" s="6"/>
      <c r="M123" s="6"/>
      <c r="N123" s="6"/>
      <c r="O123" s="6"/>
      <c r="P123" s="6"/>
      <c r="Q123" s="6"/>
      <c r="R123" s="6"/>
      <c r="S123" s="6"/>
      <c r="T123" s="6"/>
      <c r="U123" s="6"/>
    </row>
    <row r="124" spans="1:21" x14ac:dyDescent="0.35">
      <c r="A124" s="4"/>
      <c r="B124" s="4"/>
      <c r="C124" s="4"/>
      <c r="D124" s="4"/>
      <c r="E124" s="4"/>
      <c r="F124" s="4"/>
      <c r="G124" s="4"/>
      <c r="H124" s="4"/>
      <c r="I124" s="6"/>
      <c r="J124" s="6"/>
      <c r="K124" s="6"/>
      <c r="L124" s="6"/>
      <c r="M124" s="6"/>
      <c r="N124" s="6"/>
      <c r="O124" s="6"/>
      <c r="P124" s="6"/>
      <c r="Q124" s="6"/>
      <c r="R124" s="6"/>
      <c r="S124" s="6"/>
      <c r="T124" s="6"/>
      <c r="U124" s="6"/>
    </row>
    <row r="125" spans="1:21" s="6" customFormat="1" x14ac:dyDescent="0.35"/>
    <row r="126" spans="1:21" s="6" customFormat="1" x14ac:dyDescent="0.35"/>
    <row r="127" spans="1:21" s="6" customFormat="1" x14ac:dyDescent="0.35"/>
    <row r="128" spans="1:21" s="6" customFormat="1" x14ac:dyDescent="0.35"/>
    <row r="129" s="6" customFormat="1" x14ac:dyDescent="0.35"/>
    <row r="130" s="6" customFormat="1" x14ac:dyDescent="0.35"/>
    <row r="131" s="6" customFormat="1" x14ac:dyDescent="0.35"/>
    <row r="132" s="6" customFormat="1" x14ac:dyDescent="0.35"/>
    <row r="133" s="6" customFormat="1" x14ac:dyDescent="0.35"/>
    <row r="134" s="6" customFormat="1" x14ac:dyDescent="0.35"/>
    <row r="135" s="6" customFormat="1" x14ac:dyDescent="0.35"/>
    <row r="136" s="6" customFormat="1" x14ac:dyDescent="0.35"/>
    <row r="137" s="6" customFormat="1" x14ac:dyDescent="0.35"/>
    <row r="138" s="6" customFormat="1" x14ac:dyDescent="0.35"/>
    <row r="139" s="6" customFormat="1" x14ac:dyDescent="0.35"/>
    <row r="140" s="6" customFormat="1" x14ac:dyDescent="0.35"/>
    <row r="141" s="6" customFormat="1" x14ac:dyDescent="0.35"/>
    <row r="142" s="6" customFormat="1" x14ac:dyDescent="0.35"/>
    <row r="143" s="6" customFormat="1" x14ac:dyDescent="0.35"/>
    <row r="144" s="6" customFormat="1" x14ac:dyDescent="0.35"/>
    <row r="145" s="6" customFormat="1" x14ac:dyDescent="0.35"/>
    <row r="146" s="6" customFormat="1" x14ac:dyDescent="0.35"/>
    <row r="147" s="6" customFormat="1" x14ac:dyDescent="0.35"/>
    <row r="148" s="6" customFormat="1" x14ac:dyDescent="0.35"/>
    <row r="149" s="6" customFormat="1" x14ac:dyDescent="0.35"/>
    <row r="150" s="6" customFormat="1" x14ac:dyDescent="0.35"/>
    <row r="151" s="6" customFormat="1" x14ac:dyDescent="0.35"/>
    <row r="152" s="6" customFormat="1" x14ac:dyDescent="0.35"/>
    <row r="153" s="6" customFormat="1" x14ac:dyDescent="0.35"/>
    <row r="154" s="6" customFormat="1" x14ac:dyDescent="0.35"/>
    <row r="155" s="6" customFormat="1" x14ac:dyDescent="0.35"/>
    <row r="156" s="6" customFormat="1" x14ac:dyDescent="0.35"/>
    <row r="157" s="6" customFormat="1" x14ac:dyDescent="0.35"/>
    <row r="158" s="6" customFormat="1" x14ac:dyDescent="0.35"/>
    <row r="159" s="6" customFormat="1" x14ac:dyDescent="0.35"/>
    <row r="160" s="6" customFormat="1" x14ac:dyDescent="0.35"/>
    <row r="161" s="6" customFormat="1" x14ac:dyDescent="0.35"/>
    <row r="162" s="6" customFormat="1" x14ac:dyDescent="0.35"/>
    <row r="163" s="6" customFormat="1" x14ac:dyDescent="0.35"/>
    <row r="164" s="6" customFormat="1" x14ac:dyDescent="0.35"/>
    <row r="165" s="6" customFormat="1" x14ac:dyDescent="0.35"/>
    <row r="166" s="6" customFormat="1" x14ac:dyDescent="0.35"/>
    <row r="167" s="6" customFormat="1" x14ac:dyDescent="0.35"/>
    <row r="168" s="6" customFormat="1" x14ac:dyDescent="0.35"/>
    <row r="169" s="6" customFormat="1" x14ac:dyDescent="0.35"/>
    <row r="170" s="6" customFormat="1" x14ac:dyDescent="0.35"/>
    <row r="171" s="6" customFormat="1" x14ac:dyDescent="0.35"/>
    <row r="172" s="6" customFormat="1" x14ac:dyDescent="0.35"/>
    <row r="173" s="6" customFormat="1" x14ac:dyDescent="0.35"/>
    <row r="174" s="6" customFormat="1" x14ac:dyDescent="0.35"/>
    <row r="175" s="6" customFormat="1" x14ac:dyDescent="0.35"/>
    <row r="176" s="6" customFormat="1" x14ac:dyDescent="0.35"/>
    <row r="177" s="6" customFormat="1" x14ac:dyDescent="0.35"/>
    <row r="178" s="6" customFormat="1" x14ac:dyDescent="0.35"/>
    <row r="179" s="6" customFormat="1" x14ac:dyDescent="0.35"/>
    <row r="180" s="6" customFormat="1" x14ac:dyDescent="0.35"/>
    <row r="181" s="6" customFormat="1" x14ac:dyDescent="0.35"/>
    <row r="182" s="6" customFormat="1" x14ac:dyDescent="0.35"/>
    <row r="183" s="6" customFormat="1" x14ac:dyDescent="0.35"/>
    <row r="184" s="6" customFormat="1" x14ac:dyDescent="0.35"/>
    <row r="185" s="6" customFormat="1" x14ac:dyDescent="0.35"/>
    <row r="186" s="6" customFormat="1" x14ac:dyDescent="0.35"/>
    <row r="187" s="6" customFormat="1" x14ac:dyDescent="0.35"/>
    <row r="188" s="6" customFormat="1" x14ac:dyDescent="0.35"/>
    <row r="189" s="6" customFormat="1" x14ac:dyDescent="0.35"/>
    <row r="190" s="6" customFormat="1" x14ac:dyDescent="0.35"/>
    <row r="191" s="6" customFormat="1" x14ac:dyDescent="0.35"/>
    <row r="192" s="6" customFormat="1" x14ac:dyDescent="0.35"/>
    <row r="193" s="6" customFormat="1" x14ac:dyDescent="0.35"/>
    <row r="194" s="6" customFormat="1" x14ac:dyDescent="0.35"/>
    <row r="195" s="6" customFormat="1" x14ac:dyDescent="0.35"/>
    <row r="196" s="6" customFormat="1" x14ac:dyDescent="0.35"/>
    <row r="197" s="6" customFormat="1" x14ac:dyDescent="0.35"/>
    <row r="198" s="6" customFormat="1" x14ac:dyDescent="0.35"/>
    <row r="199" s="6" customFormat="1" x14ac:dyDescent="0.35"/>
    <row r="200" s="6" customFormat="1" x14ac:dyDescent="0.35"/>
    <row r="201" s="6" customFormat="1" x14ac:dyDescent="0.35"/>
    <row r="202" s="6" customFormat="1" x14ac:dyDescent="0.35"/>
    <row r="203" s="6" customFormat="1" x14ac:dyDescent="0.35"/>
    <row r="204" s="6" customFormat="1" x14ac:dyDescent="0.35"/>
    <row r="205" s="6" customFormat="1" x14ac:dyDescent="0.35"/>
    <row r="206" s="6" customFormat="1" x14ac:dyDescent="0.35"/>
    <row r="207" s="6" customFormat="1" x14ac:dyDescent="0.35"/>
    <row r="208" s="6" customFormat="1" x14ac:dyDescent="0.35"/>
    <row r="209" s="6" customFormat="1" x14ac:dyDescent="0.35"/>
    <row r="210" s="6" customFormat="1" x14ac:dyDescent="0.35"/>
    <row r="211" s="6" customFormat="1" x14ac:dyDescent="0.35"/>
    <row r="212" s="6" customFormat="1" x14ac:dyDescent="0.35"/>
    <row r="213" s="6" customFormat="1" x14ac:dyDescent="0.35"/>
    <row r="214" s="6" customFormat="1" x14ac:dyDescent="0.35"/>
    <row r="215" s="6" customFormat="1" x14ac:dyDescent="0.35"/>
    <row r="216" s="6" customFormat="1" x14ac:dyDescent="0.35"/>
    <row r="217" s="6" customFormat="1" x14ac:dyDescent="0.35"/>
    <row r="218" s="6" customFormat="1" x14ac:dyDescent="0.35"/>
    <row r="219" s="6" customFormat="1" x14ac:dyDescent="0.35"/>
    <row r="220" s="6" customFormat="1" x14ac:dyDescent="0.35"/>
    <row r="221" s="6" customFormat="1" x14ac:dyDescent="0.35"/>
    <row r="222" s="6" customFormat="1" x14ac:dyDescent="0.35"/>
    <row r="223" s="6" customFormat="1" x14ac:dyDescent="0.35"/>
    <row r="224" s="6" customFormat="1" x14ac:dyDescent="0.35"/>
    <row r="225" s="6" customFormat="1" x14ac:dyDescent="0.35"/>
    <row r="226" s="6" customFormat="1" x14ac:dyDescent="0.35"/>
    <row r="227" s="6" customFormat="1" x14ac:dyDescent="0.35"/>
    <row r="228" s="6" customFormat="1" x14ac:dyDescent="0.35"/>
    <row r="229" s="6" customFormat="1" x14ac:dyDescent="0.35"/>
    <row r="230" s="6" customFormat="1" x14ac:dyDescent="0.35"/>
    <row r="231" s="6" customFormat="1" x14ac:dyDescent="0.35"/>
    <row r="232" s="6" customFormat="1" x14ac:dyDescent="0.35"/>
    <row r="233" s="6" customFormat="1" x14ac:dyDescent="0.35"/>
    <row r="234" s="6" customFormat="1" x14ac:dyDescent="0.35"/>
    <row r="235" s="6" customFormat="1" x14ac:dyDescent="0.35"/>
    <row r="236" s="6" customFormat="1" x14ac:dyDescent="0.35"/>
    <row r="237" s="6" customFormat="1" x14ac:dyDescent="0.35"/>
    <row r="238" s="6" customFormat="1" x14ac:dyDescent="0.35"/>
    <row r="239" s="6" customFormat="1" x14ac:dyDescent="0.35"/>
    <row r="240" s="6" customFormat="1" x14ac:dyDescent="0.35"/>
    <row r="241" s="6" customFormat="1" x14ac:dyDescent="0.35"/>
    <row r="242" s="6" customFormat="1" x14ac:dyDescent="0.35"/>
    <row r="243" s="6" customFormat="1" x14ac:dyDescent="0.35"/>
    <row r="244" s="6" customFormat="1" x14ac:dyDescent="0.35"/>
    <row r="245" s="6" customFormat="1" x14ac:dyDescent="0.35"/>
    <row r="246" s="6" customFormat="1" x14ac:dyDescent="0.35"/>
    <row r="247" s="6" customFormat="1" x14ac:dyDescent="0.35"/>
    <row r="248" s="6" customFormat="1" x14ac:dyDescent="0.35"/>
    <row r="249" s="6" customFormat="1" x14ac:dyDescent="0.35"/>
    <row r="250" s="6" customFormat="1" x14ac:dyDescent="0.35"/>
    <row r="251" s="6" customFormat="1" x14ac:dyDescent="0.35"/>
    <row r="252" s="6" customFormat="1" x14ac:dyDescent="0.35"/>
    <row r="253" s="6" customFormat="1" x14ac:dyDescent="0.35"/>
    <row r="254" s="6" customFormat="1" x14ac:dyDescent="0.35"/>
    <row r="255" s="6" customFormat="1" x14ac:dyDescent="0.35"/>
    <row r="256" s="6" customFormat="1" x14ac:dyDescent="0.35"/>
    <row r="257" s="6" customFormat="1" x14ac:dyDescent="0.35"/>
    <row r="258" s="6" customFormat="1" x14ac:dyDescent="0.35"/>
    <row r="259" s="6" customFormat="1" x14ac:dyDescent="0.35"/>
    <row r="260" s="6" customFormat="1" x14ac:dyDescent="0.35"/>
    <row r="261" s="6" customFormat="1" x14ac:dyDescent="0.35"/>
    <row r="262" s="6" customFormat="1" x14ac:dyDescent="0.35"/>
    <row r="263" s="6" customFormat="1" x14ac:dyDescent="0.35"/>
    <row r="264" s="6" customFormat="1" x14ac:dyDescent="0.35"/>
    <row r="265" s="6" customFormat="1" x14ac:dyDescent="0.35"/>
    <row r="266" s="6" customFormat="1" x14ac:dyDescent="0.35"/>
    <row r="267" s="6" customFormat="1" x14ac:dyDescent="0.35"/>
    <row r="268" s="6" customFormat="1" x14ac:dyDescent="0.35"/>
    <row r="269" s="6" customFormat="1" x14ac:dyDescent="0.35"/>
    <row r="270" s="6" customFormat="1" x14ac:dyDescent="0.35"/>
    <row r="271" s="6" customFormat="1" x14ac:dyDescent="0.35"/>
    <row r="272" s="6" customFormat="1" x14ac:dyDescent="0.35"/>
    <row r="273" s="6" customFormat="1" x14ac:dyDescent="0.35"/>
    <row r="274" s="6" customFormat="1" x14ac:dyDescent="0.35"/>
    <row r="275" s="6" customFormat="1" x14ac:dyDescent="0.35"/>
    <row r="276" s="6" customFormat="1" x14ac:dyDescent="0.35"/>
    <row r="277" s="6" customFormat="1" x14ac:dyDescent="0.35"/>
    <row r="278" s="6" customFormat="1" x14ac:dyDescent="0.35"/>
    <row r="279" s="6" customFormat="1" x14ac:dyDescent="0.35"/>
    <row r="280" s="6" customFormat="1" x14ac:dyDescent="0.35"/>
    <row r="281" s="6" customFormat="1" x14ac:dyDescent="0.35"/>
    <row r="282" s="6" customFormat="1" x14ac:dyDescent="0.35"/>
    <row r="283" s="6" customFormat="1" x14ac:dyDescent="0.35"/>
    <row r="284" s="6" customFormat="1" x14ac:dyDescent="0.35"/>
    <row r="285" s="6" customFormat="1" x14ac:dyDescent="0.35"/>
    <row r="286" s="6" customFormat="1" x14ac:dyDescent="0.35"/>
    <row r="287" s="6" customFormat="1" x14ac:dyDescent="0.35"/>
    <row r="288" s="6" customFormat="1" x14ac:dyDescent="0.35"/>
    <row r="289" spans="9:21" s="6" customFormat="1" x14ac:dyDescent="0.35"/>
    <row r="290" spans="9:21" s="6" customFormat="1" x14ac:dyDescent="0.35"/>
    <row r="291" spans="9:21" s="6" customFormat="1" x14ac:dyDescent="0.35"/>
    <row r="292" spans="9:21" s="6" customFormat="1" x14ac:dyDescent="0.35"/>
    <row r="293" spans="9:21" s="6" customFormat="1" x14ac:dyDescent="0.35"/>
    <row r="294" spans="9:21" s="6" customFormat="1" x14ac:dyDescent="0.35"/>
    <row r="295" spans="9:21" s="6" customFormat="1" x14ac:dyDescent="0.35"/>
    <row r="296" spans="9:21" s="6" customFormat="1" x14ac:dyDescent="0.35"/>
    <row r="297" spans="9:21" s="6" customFormat="1" x14ac:dyDescent="0.35"/>
    <row r="298" spans="9:21" s="6" customFormat="1" x14ac:dyDescent="0.35">
      <c r="J298" s="1"/>
      <c r="K298" s="1"/>
      <c r="M298" s="1"/>
      <c r="N298" s="1"/>
      <c r="O298" s="1"/>
      <c r="P298" s="1"/>
      <c r="Q298" s="1"/>
      <c r="R298" s="1"/>
      <c r="S298" s="1"/>
      <c r="T298" s="1"/>
      <c r="U298" s="1"/>
    </row>
    <row r="299" spans="9:21" s="6" customFormat="1" x14ac:dyDescent="0.35">
      <c r="J299" s="1"/>
      <c r="K299" s="1"/>
      <c r="M299" s="1"/>
      <c r="N299" s="1"/>
      <c r="O299" s="1"/>
      <c r="P299" s="1"/>
      <c r="Q299" s="1"/>
      <c r="R299" s="1"/>
      <c r="S299" s="1"/>
      <c r="T299" s="1"/>
      <c r="U299" s="1"/>
    </row>
    <row r="300" spans="9:21" s="6" customFormat="1" x14ac:dyDescent="0.35">
      <c r="J300" s="1"/>
      <c r="K300" s="1"/>
      <c r="M300" s="1"/>
      <c r="N300" s="1"/>
      <c r="O300" s="1"/>
      <c r="P300" s="1"/>
      <c r="Q300" s="1"/>
      <c r="R300" s="1"/>
      <c r="S300" s="1"/>
      <c r="T300" s="1"/>
      <c r="U300" s="1"/>
    </row>
    <row r="301" spans="9:21" x14ac:dyDescent="0.35">
      <c r="I301" s="6"/>
      <c r="L301" s="6"/>
    </row>
    <row r="302" spans="9:21" x14ac:dyDescent="0.35">
      <c r="I302" s="6"/>
      <c r="L302" s="6"/>
    </row>
    <row r="303" spans="9:21" x14ac:dyDescent="0.35">
      <c r="I303" s="6"/>
      <c r="L303" s="6"/>
    </row>
    <row r="304" spans="9:21" x14ac:dyDescent="0.35">
      <c r="I304" s="6"/>
      <c r="L304" s="6"/>
    </row>
    <row r="305" spans="9:12" x14ac:dyDescent="0.35">
      <c r="I305" s="6"/>
      <c r="L305" s="6"/>
    </row>
    <row r="306" spans="9:12" x14ac:dyDescent="0.35">
      <c r="I306" s="6"/>
      <c r="L306" s="6"/>
    </row>
    <row r="307" spans="9:12" x14ac:dyDescent="0.35">
      <c r="I307" s="6"/>
      <c r="L307" s="6"/>
    </row>
    <row r="308" spans="9:12" x14ac:dyDescent="0.35">
      <c r="I308" s="6"/>
      <c r="L308" s="6"/>
    </row>
    <row r="309" spans="9:12" x14ac:dyDescent="0.35">
      <c r="I309" s="6"/>
      <c r="L309" s="6"/>
    </row>
    <row r="310" spans="9:12" x14ac:dyDescent="0.35">
      <c r="I310" s="6"/>
      <c r="L310" s="6"/>
    </row>
    <row r="311" spans="9:12" x14ac:dyDescent="0.35">
      <c r="I311" s="6"/>
      <c r="L311" s="6"/>
    </row>
    <row r="312" spans="9:12" x14ac:dyDescent="0.35">
      <c r="I312" s="6"/>
      <c r="L312" s="6"/>
    </row>
    <row r="313" spans="9:12" x14ac:dyDescent="0.35">
      <c r="I313" s="6"/>
      <c r="L313" s="6"/>
    </row>
    <row r="314" spans="9:12" x14ac:dyDescent="0.35">
      <c r="I314" s="6"/>
      <c r="L314" s="6"/>
    </row>
    <row r="315" spans="9:12" x14ac:dyDescent="0.35">
      <c r="I315" s="6"/>
      <c r="L315" s="6"/>
    </row>
    <row r="316" spans="9:12" x14ac:dyDescent="0.35">
      <c r="I316" s="6"/>
      <c r="L316" s="6"/>
    </row>
    <row r="317" spans="9:12" x14ac:dyDescent="0.35">
      <c r="I317" s="6"/>
      <c r="L317" s="6"/>
    </row>
    <row r="318" spans="9:12" x14ac:dyDescent="0.35">
      <c r="I318" s="6"/>
      <c r="L318" s="6"/>
    </row>
    <row r="319" spans="9:12" x14ac:dyDescent="0.35">
      <c r="I319" s="6"/>
      <c r="L319" s="6"/>
    </row>
    <row r="320" spans="9:12" x14ac:dyDescent="0.35">
      <c r="I320" s="6"/>
      <c r="L320" s="6"/>
    </row>
    <row r="321" spans="9:12" x14ac:dyDescent="0.35">
      <c r="I321" s="6"/>
      <c r="L321" s="6"/>
    </row>
    <row r="322" spans="9:12" x14ac:dyDescent="0.35">
      <c r="I322" s="6"/>
      <c r="L322" s="6"/>
    </row>
    <row r="323" spans="9:12" x14ac:dyDescent="0.35">
      <c r="I323" s="6"/>
      <c r="L323" s="6"/>
    </row>
    <row r="324" spans="9:12" x14ac:dyDescent="0.35">
      <c r="I324" s="6"/>
      <c r="L324" s="6"/>
    </row>
    <row r="325" spans="9:12" x14ac:dyDescent="0.35">
      <c r="I325" s="6"/>
      <c r="L325" s="6"/>
    </row>
    <row r="326" spans="9:12" x14ac:dyDescent="0.35">
      <c r="I326" s="6"/>
      <c r="L326" s="6"/>
    </row>
    <row r="327" spans="9:12" x14ac:dyDescent="0.35">
      <c r="I327" s="6"/>
      <c r="L327" s="6"/>
    </row>
    <row r="328" spans="9:12" x14ac:dyDescent="0.35">
      <c r="I328" s="6"/>
      <c r="L328" s="6"/>
    </row>
    <row r="329" spans="9:12" x14ac:dyDescent="0.35">
      <c r="I329" s="6"/>
      <c r="L329" s="6"/>
    </row>
    <row r="330" spans="9:12" x14ac:dyDescent="0.35">
      <c r="I330" s="6"/>
      <c r="L330" s="6"/>
    </row>
    <row r="331" spans="9:12" x14ac:dyDescent="0.35">
      <c r="I331" s="6"/>
      <c r="L331" s="6"/>
    </row>
    <row r="332" spans="9:12" x14ac:dyDescent="0.35">
      <c r="I332" s="6"/>
      <c r="L332" s="6"/>
    </row>
    <row r="333" spans="9:12" x14ac:dyDescent="0.35">
      <c r="I333" s="6"/>
      <c r="L333" s="6"/>
    </row>
    <row r="334" spans="9:12" x14ac:dyDescent="0.35">
      <c r="I334" s="6"/>
      <c r="L334" s="6"/>
    </row>
    <row r="335" spans="9:12" x14ac:dyDescent="0.35">
      <c r="I335" s="6"/>
      <c r="L335" s="6"/>
    </row>
    <row r="336" spans="9:12" x14ac:dyDescent="0.35">
      <c r="I336" s="6"/>
      <c r="L336" s="6"/>
    </row>
    <row r="337" spans="9:12" x14ac:dyDescent="0.35">
      <c r="I337" s="6"/>
      <c r="L337" s="6"/>
    </row>
    <row r="338" spans="9:12" x14ac:dyDescent="0.35">
      <c r="I338" s="6"/>
      <c r="L338" s="6"/>
    </row>
    <row r="339" spans="9:12" x14ac:dyDescent="0.35">
      <c r="I339" s="6"/>
      <c r="L339" s="6"/>
    </row>
    <row r="340" spans="9:12" x14ac:dyDescent="0.35">
      <c r="I340" s="6"/>
      <c r="L340" s="6"/>
    </row>
    <row r="341" spans="9:12" x14ac:dyDescent="0.35">
      <c r="I341" s="6"/>
      <c r="L341" s="6"/>
    </row>
    <row r="342" spans="9:12" x14ac:dyDescent="0.35">
      <c r="I342" s="6"/>
      <c r="L342" s="6"/>
    </row>
    <row r="343" spans="9:12" x14ac:dyDescent="0.35">
      <c r="I343" s="6"/>
      <c r="L343" s="6"/>
    </row>
    <row r="344" spans="9:12" x14ac:dyDescent="0.35">
      <c r="I344" s="6"/>
      <c r="L344" s="6"/>
    </row>
    <row r="345" spans="9:12" x14ac:dyDescent="0.35">
      <c r="I345" s="6"/>
      <c r="L345" s="6"/>
    </row>
    <row r="346" spans="9:12" x14ac:dyDescent="0.35">
      <c r="I346" s="6"/>
      <c r="L346" s="6"/>
    </row>
    <row r="347" spans="9:12" x14ac:dyDescent="0.35">
      <c r="I347" s="6"/>
      <c r="L347" s="6"/>
    </row>
    <row r="348" spans="9:12" x14ac:dyDescent="0.35">
      <c r="I348" s="6"/>
      <c r="L348" s="6"/>
    </row>
    <row r="349" spans="9:12" x14ac:dyDescent="0.35">
      <c r="I349" s="6"/>
      <c r="L349" s="6"/>
    </row>
    <row r="350" spans="9:12" x14ac:dyDescent="0.35">
      <c r="I350" s="6"/>
      <c r="L350" s="6"/>
    </row>
    <row r="351" spans="9:12" x14ac:dyDescent="0.35">
      <c r="I351" s="6"/>
      <c r="L351" s="6"/>
    </row>
    <row r="352" spans="9:12" x14ac:dyDescent="0.35">
      <c r="I352" s="6"/>
      <c r="L352" s="6"/>
    </row>
    <row r="353" spans="9:12" x14ac:dyDescent="0.35">
      <c r="I353" s="6"/>
      <c r="L353" s="6"/>
    </row>
    <row r="354" spans="9:12" x14ac:dyDescent="0.35">
      <c r="I354" s="6"/>
      <c r="L354" s="6"/>
    </row>
    <row r="355" spans="9:12" x14ac:dyDescent="0.35">
      <c r="I355" s="6"/>
      <c r="L355" s="6"/>
    </row>
    <row r="356" spans="9:12" x14ac:dyDescent="0.35">
      <c r="I356" s="6"/>
      <c r="L356" s="6"/>
    </row>
    <row r="357" spans="9:12" x14ac:dyDescent="0.35">
      <c r="I357" s="6"/>
      <c r="L357" s="6"/>
    </row>
    <row r="358" spans="9:12" x14ac:dyDescent="0.35">
      <c r="I358" s="6"/>
      <c r="L358" s="6"/>
    </row>
    <row r="359" spans="9:12" x14ac:dyDescent="0.35">
      <c r="I359" s="6"/>
      <c r="L359" s="6"/>
    </row>
    <row r="360" spans="9:12" x14ac:dyDescent="0.35">
      <c r="I360" s="6"/>
      <c r="L360" s="6"/>
    </row>
    <row r="361" spans="9:12" x14ac:dyDescent="0.35">
      <c r="I361" s="6"/>
      <c r="L361" s="6"/>
    </row>
    <row r="362" spans="9:12" x14ac:dyDescent="0.35">
      <c r="I362" s="6"/>
      <c r="L362" s="6"/>
    </row>
    <row r="363" spans="9:12" x14ac:dyDescent="0.35">
      <c r="I363" s="6"/>
      <c r="L363" s="6"/>
    </row>
    <row r="364" spans="9:12" x14ac:dyDescent="0.35">
      <c r="I364" s="6"/>
      <c r="L364" s="6"/>
    </row>
    <row r="365" spans="9:12" x14ac:dyDescent="0.35">
      <c r="I365" s="6"/>
      <c r="L365" s="6"/>
    </row>
    <row r="366" spans="9:12" x14ac:dyDescent="0.35">
      <c r="I366" s="6"/>
      <c r="L366" s="6"/>
    </row>
    <row r="367" spans="9:12" x14ac:dyDescent="0.35">
      <c r="I367" s="6"/>
      <c r="L367" s="6"/>
    </row>
    <row r="368" spans="9:12" x14ac:dyDescent="0.35">
      <c r="I368" s="6"/>
      <c r="L368" s="6"/>
    </row>
    <row r="369" spans="9:12" x14ac:dyDescent="0.35">
      <c r="I369" s="6"/>
      <c r="L369" s="6"/>
    </row>
    <row r="370" spans="9:12" x14ac:dyDescent="0.35">
      <c r="I370" s="6"/>
      <c r="L370" s="6"/>
    </row>
    <row r="371" spans="9:12" x14ac:dyDescent="0.35">
      <c r="I371" s="6"/>
      <c r="L371" s="6"/>
    </row>
    <row r="372" spans="9:12" x14ac:dyDescent="0.35">
      <c r="I372" s="6"/>
      <c r="L372" s="6"/>
    </row>
    <row r="373" spans="9:12" x14ac:dyDescent="0.35">
      <c r="I373" s="6"/>
      <c r="L373" s="6"/>
    </row>
    <row r="374" spans="9:12" x14ac:dyDescent="0.35">
      <c r="I374" s="6"/>
      <c r="L374" s="6"/>
    </row>
    <row r="375" spans="9:12" x14ac:dyDescent="0.35">
      <c r="I375" s="6"/>
      <c r="L375" s="6"/>
    </row>
    <row r="376" spans="9:12" x14ac:dyDescent="0.35">
      <c r="I376" s="6"/>
      <c r="L376" s="6"/>
    </row>
    <row r="377" spans="9:12" x14ac:dyDescent="0.35">
      <c r="I377" s="6"/>
      <c r="L377" s="6"/>
    </row>
    <row r="378" spans="9:12" x14ac:dyDescent="0.35">
      <c r="I378" s="6"/>
      <c r="L378" s="6"/>
    </row>
    <row r="379" spans="9:12" x14ac:dyDescent="0.35">
      <c r="I379" s="6"/>
      <c r="L379" s="6"/>
    </row>
    <row r="380" spans="9:12" x14ac:dyDescent="0.35">
      <c r="I380" s="6"/>
      <c r="L380" s="6"/>
    </row>
    <row r="381" spans="9:12" x14ac:dyDescent="0.35">
      <c r="I381" s="6"/>
      <c r="L381" s="6"/>
    </row>
    <row r="382" spans="9:12" x14ac:dyDescent="0.35">
      <c r="I382" s="6"/>
      <c r="L382" s="6"/>
    </row>
    <row r="383" spans="9:12" x14ac:dyDescent="0.35">
      <c r="I383" s="6"/>
      <c r="L383" s="6"/>
    </row>
    <row r="384" spans="9:12" x14ac:dyDescent="0.35">
      <c r="I384" s="6"/>
      <c r="L384" s="6"/>
    </row>
    <row r="385" spans="9:12" x14ac:dyDescent="0.35">
      <c r="I385" s="6"/>
      <c r="L385" s="6"/>
    </row>
    <row r="386" spans="9:12" x14ac:dyDescent="0.35">
      <c r="I386" s="6"/>
      <c r="L386" s="6"/>
    </row>
    <row r="387" spans="9:12" x14ac:dyDescent="0.35">
      <c r="I387" s="6"/>
      <c r="L387" s="6"/>
    </row>
    <row r="388" spans="9:12" x14ac:dyDescent="0.35">
      <c r="I388" s="6"/>
      <c r="L388" s="6"/>
    </row>
    <row r="389" spans="9:12" x14ac:dyDescent="0.35">
      <c r="I389" s="6"/>
      <c r="L389" s="6"/>
    </row>
    <row r="390" spans="9:12" x14ac:dyDescent="0.35">
      <c r="I390" s="6"/>
      <c r="L390" s="6"/>
    </row>
    <row r="391" spans="9:12" x14ac:dyDescent="0.35">
      <c r="I391" s="6"/>
      <c r="L391" s="6"/>
    </row>
    <row r="392" spans="9:12" x14ac:dyDescent="0.35">
      <c r="I392" s="6"/>
      <c r="L392" s="6"/>
    </row>
    <row r="393" spans="9:12" x14ac:dyDescent="0.35">
      <c r="I393" s="6"/>
      <c r="L393" s="6"/>
    </row>
    <row r="394" spans="9:12" x14ac:dyDescent="0.35">
      <c r="I394" s="6"/>
      <c r="L394" s="6"/>
    </row>
    <row r="395" spans="9:12" x14ac:dyDescent="0.35">
      <c r="I395" s="6"/>
      <c r="L395" s="6"/>
    </row>
    <row r="396" spans="9:12" x14ac:dyDescent="0.35">
      <c r="I396" s="6"/>
      <c r="L396" s="6"/>
    </row>
    <row r="397" spans="9:12" x14ac:dyDescent="0.35">
      <c r="I397" s="6"/>
      <c r="L397" s="6"/>
    </row>
    <row r="398" spans="9:12" x14ac:dyDescent="0.35">
      <c r="I398" s="6"/>
      <c r="L398" s="6"/>
    </row>
    <row r="399" spans="9:12" x14ac:dyDescent="0.35">
      <c r="I399" s="6"/>
      <c r="L399" s="6"/>
    </row>
    <row r="400" spans="9:12" x14ac:dyDescent="0.35">
      <c r="I400" s="6"/>
      <c r="L400" s="6"/>
    </row>
    <row r="401" spans="9:12" x14ac:dyDescent="0.35">
      <c r="I401" s="6"/>
      <c r="L401" s="6"/>
    </row>
    <row r="402" spans="9:12" x14ac:dyDescent="0.35">
      <c r="I402" s="6"/>
      <c r="L402" s="6"/>
    </row>
    <row r="403" spans="9:12" x14ac:dyDescent="0.35">
      <c r="I403" s="6"/>
      <c r="L403" s="6"/>
    </row>
    <row r="404" spans="9:12" x14ac:dyDescent="0.35">
      <c r="I404" s="6"/>
      <c r="L404" s="6"/>
    </row>
    <row r="405" spans="9:12" x14ac:dyDescent="0.35">
      <c r="I405" s="6"/>
      <c r="L405" s="6"/>
    </row>
    <row r="406" spans="9:12" x14ac:dyDescent="0.35">
      <c r="I406" s="6"/>
      <c r="L406" s="6"/>
    </row>
    <row r="407" spans="9:12" x14ac:dyDescent="0.35">
      <c r="I407" s="6"/>
      <c r="L407" s="6"/>
    </row>
    <row r="408" spans="9:12" x14ac:dyDescent="0.35">
      <c r="I408" s="6"/>
      <c r="L408" s="6"/>
    </row>
    <row r="409" spans="9:12" x14ac:dyDescent="0.35">
      <c r="I409" s="6"/>
      <c r="L409" s="6"/>
    </row>
    <row r="410" spans="9:12" x14ac:dyDescent="0.35">
      <c r="I410" s="6"/>
      <c r="L410" s="6"/>
    </row>
    <row r="411" spans="9:12" x14ac:dyDescent="0.35">
      <c r="I411" s="6"/>
      <c r="L411" s="6"/>
    </row>
    <row r="412" spans="9:12" x14ac:dyDescent="0.35">
      <c r="I412" s="6"/>
      <c r="L412" s="6"/>
    </row>
    <row r="413" spans="9:12" x14ac:dyDescent="0.35">
      <c r="I413" s="6"/>
      <c r="L413" s="6"/>
    </row>
    <row r="414" spans="9:12" x14ac:dyDescent="0.35">
      <c r="I414" s="6"/>
      <c r="L414" s="6"/>
    </row>
    <row r="415" spans="9:12" x14ac:dyDescent="0.35">
      <c r="I415" s="6"/>
      <c r="L415" s="6"/>
    </row>
    <row r="416" spans="9:12" x14ac:dyDescent="0.35">
      <c r="I416" s="6"/>
      <c r="L416" s="6"/>
    </row>
    <row r="417" spans="9:12" x14ac:dyDescent="0.35">
      <c r="I417" s="6"/>
      <c r="L417" s="6"/>
    </row>
    <row r="418" spans="9:12" x14ac:dyDescent="0.35">
      <c r="I418" s="6"/>
      <c r="L418" s="6"/>
    </row>
    <row r="419" spans="9:12" x14ac:dyDescent="0.35">
      <c r="I419" s="6"/>
      <c r="L419" s="6"/>
    </row>
    <row r="420" spans="9:12" x14ac:dyDescent="0.35">
      <c r="I420" s="6"/>
      <c r="L420" s="6"/>
    </row>
    <row r="421" spans="9:12" x14ac:dyDescent="0.35">
      <c r="I421" s="6"/>
      <c r="L421" s="6"/>
    </row>
    <row r="422" spans="9:12" x14ac:dyDescent="0.35">
      <c r="I422" s="6"/>
      <c r="L422" s="6"/>
    </row>
    <row r="423" spans="9:12" x14ac:dyDescent="0.35">
      <c r="I423" s="6"/>
      <c r="L423" s="6"/>
    </row>
    <row r="424" spans="9:12" x14ac:dyDescent="0.35">
      <c r="I424" s="6"/>
      <c r="L424" s="6"/>
    </row>
    <row r="425" spans="9:12" x14ac:dyDescent="0.35">
      <c r="I425" s="6"/>
      <c r="L425" s="6"/>
    </row>
    <row r="426" spans="9:12" x14ac:dyDescent="0.35">
      <c r="I426" s="6"/>
      <c r="L426" s="6"/>
    </row>
    <row r="427" spans="9:12" x14ac:dyDescent="0.35">
      <c r="I427" s="6"/>
      <c r="L427" s="6"/>
    </row>
    <row r="428" spans="9:12" x14ac:dyDescent="0.35">
      <c r="I428" s="6"/>
      <c r="L428" s="6"/>
    </row>
    <row r="429" spans="9:12" x14ac:dyDescent="0.35">
      <c r="I429" s="6"/>
      <c r="L429" s="6"/>
    </row>
    <row r="430" spans="9:12" x14ac:dyDescent="0.35">
      <c r="I430" s="6"/>
      <c r="L430" s="6"/>
    </row>
    <row r="431" spans="9:12" x14ac:dyDescent="0.35">
      <c r="I431" s="6"/>
      <c r="L431" s="6"/>
    </row>
    <row r="432" spans="9:12" x14ac:dyDescent="0.35">
      <c r="I432" s="6"/>
      <c r="L432" s="6"/>
    </row>
    <row r="433" spans="9:12" x14ac:dyDescent="0.35">
      <c r="I433" s="6"/>
      <c r="L433" s="6"/>
    </row>
    <row r="434" spans="9:12" x14ac:dyDescent="0.35">
      <c r="I434" s="6"/>
      <c r="L434" s="6"/>
    </row>
    <row r="435" spans="9:12" x14ac:dyDescent="0.35">
      <c r="I435" s="6"/>
      <c r="L435" s="6"/>
    </row>
    <row r="436" spans="9:12" x14ac:dyDescent="0.35">
      <c r="I436" s="6"/>
      <c r="L436" s="6"/>
    </row>
    <row r="437" spans="9:12" x14ac:dyDescent="0.35">
      <c r="I437" s="6"/>
      <c r="L437" s="6"/>
    </row>
    <row r="438" spans="9:12" x14ac:dyDescent="0.35">
      <c r="I438" s="6"/>
      <c r="L438" s="6"/>
    </row>
    <row r="439" spans="9:12" x14ac:dyDescent="0.35">
      <c r="I439" s="6"/>
      <c r="L439" s="6"/>
    </row>
    <row r="440" spans="9:12" x14ac:dyDescent="0.35">
      <c r="I440" s="6"/>
      <c r="L440" s="6"/>
    </row>
    <row r="441" spans="9:12" x14ac:dyDescent="0.35">
      <c r="I441" s="6"/>
      <c r="L441" s="6"/>
    </row>
    <row r="442" spans="9:12" x14ac:dyDescent="0.35">
      <c r="I442" s="6"/>
      <c r="L442" s="6"/>
    </row>
    <row r="443" spans="9:12" x14ac:dyDescent="0.35">
      <c r="I443" s="6"/>
      <c r="L443" s="6"/>
    </row>
    <row r="444" spans="9:12" x14ac:dyDescent="0.35">
      <c r="I444" s="6"/>
      <c r="L444" s="6"/>
    </row>
    <row r="445" spans="9:12" x14ac:dyDescent="0.35">
      <c r="I445" s="6"/>
      <c r="L445" s="6"/>
    </row>
    <row r="446" spans="9:12" x14ac:dyDescent="0.35">
      <c r="I446" s="6"/>
      <c r="L446" s="6"/>
    </row>
    <row r="447" spans="9:12" x14ac:dyDescent="0.35">
      <c r="I447" s="6"/>
      <c r="L447" s="6"/>
    </row>
    <row r="448" spans="9:12" x14ac:dyDescent="0.35">
      <c r="I448" s="6"/>
      <c r="L448" s="6"/>
    </row>
    <row r="449" spans="9:12" x14ac:dyDescent="0.35">
      <c r="I449" s="6"/>
      <c r="L449" s="6"/>
    </row>
    <row r="450" spans="9:12" x14ac:dyDescent="0.35">
      <c r="I450" s="6"/>
      <c r="L450" s="6"/>
    </row>
    <row r="451" spans="9:12" x14ac:dyDescent="0.35">
      <c r="I451" s="6"/>
      <c r="L451" s="6"/>
    </row>
    <row r="452" spans="9:12" x14ac:dyDescent="0.35">
      <c r="I452" s="6"/>
      <c r="L452" s="6"/>
    </row>
    <row r="453" spans="9:12" x14ac:dyDescent="0.35">
      <c r="I453" s="6"/>
      <c r="L453" s="6"/>
    </row>
    <row r="454" spans="9:12" x14ac:dyDescent="0.35">
      <c r="I454" s="6"/>
      <c r="L454" s="6"/>
    </row>
    <row r="455" spans="9:12" x14ac:dyDescent="0.35">
      <c r="I455" s="6"/>
      <c r="L455" s="6"/>
    </row>
    <row r="456" spans="9:12" x14ac:dyDescent="0.35">
      <c r="I456" s="6"/>
      <c r="L456" s="6"/>
    </row>
    <row r="457" spans="9:12" x14ac:dyDescent="0.35">
      <c r="I457" s="6"/>
      <c r="L457" s="6"/>
    </row>
    <row r="458" spans="9:12" x14ac:dyDescent="0.35">
      <c r="I458" s="6"/>
      <c r="L458" s="6"/>
    </row>
    <row r="459" spans="9:12" x14ac:dyDescent="0.35">
      <c r="I459" s="6"/>
      <c r="L459" s="6"/>
    </row>
    <row r="460" spans="9:12" x14ac:dyDescent="0.35">
      <c r="I460" s="6"/>
      <c r="L460" s="6"/>
    </row>
    <row r="461" spans="9:12" x14ac:dyDescent="0.35">
      <c r="I461" s="6"/>
      <c r="L461" s="6"/>
    </row>
    <row r="462" spans="9:12" x14ac:dyDescent="0.35">
      <c r="I462" s="6"/>
    </row>
    <row r="463" spans="9:12" x14ac:dyDescent="0.35">
      <c r="I463" s="6"/>
    </row>
    <row r="464" spans="9:12" x14ac:dyDescent="0.35">
      <c r="I464" s="6"/>
    </row>
    <row r="465" spans="9:9" x14ac:dyDescent="0.35">
      <c r="I465" s="6"/>
    </row>
    <row r="466" spans="9:9" x14ac:dyDescent="0.35">
      <c r="I466" s="6"/>
    </row>
  </sheetData>
  <sheetProtection algorithmName="SHA-512" hashValue="mdCWUqulXAaPzK8GHUE3Vok5vyleajm0GYzmFPs6CtBCd/brj7q+61MWepWaqmvPsC055X94Z6zUCXAQ5ZjzdA==" saltValue="MGL0L8DBERhZnxtjHSzMYA==" spinCount="100000" sheet="1" objects="1" scenarios="1"/>
  <sortState xmlns:xlrd2="http://schemas.microsoft.com/office/spreadsheetml/2017/richdata2" ref="A5:G40">
    <sortCondition ref="A5:A40"/>
  </sortState>
  <mergeCells count="207">
    <mergeCell ref="S59:T59"/>
    <mergeCell ref="S60:T60"/>
    <mergeCell ref="S47:T47"/>
    <mergeCell ref="AC66:AD66"/>
    <mergeCell ref="AC67:AD67"/>
    <mergeCell ref="AC68:AD68"/>
    <mergeCell ref="AC61:AD61"/>
    <mergeCell ref="AC62:AD62"/>
    <mergeCell ref="AC63:AD63"/>
    <mergeCell ref="AC64:AD64"/>
    <mergeCell ref="AC65:AD65"/>
    <mergeCell ref="AC56:AD56"/>
    <mergeCell ref="AC57:AD57"/>
    <mergeCell ref="AC58:AD58"/>
    <mergeCell ref="AC59:AD59"/>
    <mergeCell ref="AC60:AD60"/>
    <mergeCell ref="AM53:AN53"/>
    <mergeCell ref="AM54:AN54"/>
    <mergeCell ref="W2:AO2"/>
    <mergeCell ref="AL3:AO3"/>
    <mergeCell ref="AL28:AL29"/>
    <mergeCell ref="AM28:AM29"/>
    <mergeCell ref="AN28:AN29"/>
    <mergeCell ref="AO28:AO29"/>
    <mergeCell ref="AM48:AN48"/>
    <mergeCell ref="AM49:AN49"/>
    <mergeCell ref="AM50:AN50"/>
    <mergeCell ref="AM51:AN51"/>
    <mergeCell ref="AM52:AN52"/>
    <mergeCell ref="AL42:AL43"/>
    <mergeCell ref="AM42:AM43"/>
    <mergeCell ref="AN42:AN43"/>
    <mergeCell ref="AO42:AO43"/>
    <mergeCell ref="AM47:AN47"/>
    <mergeCell ref="AL26:AL27"/>
    <mergeCell ref="AM26:AM27"/>
    <mergeCell ref="AN26:AN27"/>
    <mergeCell ref="AO26:AO27"/>
    <mergeCell ref="AL35:AL36"/>
    <mergeCell ref="AM35:AM36"/>
    <mergeCell ref="AN35:AN36"/>
    <mergeCell ref="AO35:AO36"/>
    <mergeCell ref="AL5:AM5"/>
    <mergeCell ref="AL16:AL17"/>
    <mergeCell ref="AM16:AM17"/>
    <mergeCell ref="AN16:AN17"/>
    <mergeCell ref="AO16:AO17"/>
    <mergeCell ref="AJ35:AJ36"/>
    <mergeCell ref="AG42:AG43"/>
    <mergeCell ref="AH42:AH43"/>
    <mergeCell ref="AI42:AI43"/>
    <mergeCell ref="AJ42:AJ43"/>
    <mergeCell ref="AJ16:AJ17"/>
    <mergeCell ref="AG26:AG27"/>
    <mergeCell ref="AH26:AH27"/>
    <mergeCell ref="AI26:AI27"/>
    <mergeCell ref="AJ26:AJ27"/>
    <mergeCell ref="AG5:AH5"/>
    <mergeCell ref="AG16:AG17"/>
    <mergeCell ref="AH16:AH17"/>
    <mergeCell ref="AI16:AI17"/>
    <mergeCell ref="AG35:AG36"/>
    <mergeCell ref="AH35:AH36"/>
    <mergeCell ref="AI35:AI36"/>
    <mergeCell ref="AH47:AI47"/>
    <mergeCell ref="AH48:AI48"/>
    <mergeCell ref="AH49:AI49"/>
    <mergeCell ref="AH50:AI50"/>
    <mergeCell ref="AH51:AI51"/>
    <mergeCell ref="AH52:AI52"/>
    <mergeCell ref="AH53:AI53"/>
    <mergeCell ref="AH54:AI54"/>
    <mergeCell ref="AD35:AD36"/>
    <mergeCell ref="AE35:AE36"/>
    <mergeCell ref="AD42:AD43"/>
    <mergeCell ref="AE42:AE43"/>
    <mergeCell ref="AC54:AD54"/>
    <mergeCell ref="AC42:AC43"/>
    <mergeCell ref="S61:T61"/>
    <mergeCell ref="S62:T62"/>
    <mergeCell ref="A1:K1"/>
    <mergeCell ref="M1:Z1"/>
    <mergeCell ref="AB5:AC5"/>
    <mergeCell ref="AB16:AB17"/>
    <mergeCell ref="AC16:AC17"/>
    <mergeCell ref="AB35:AB36"/>
    <mergeCell ref="AC35:AC36"/>
    <mergeCell ref="AC47:AD47"/>
    <mergeCell ref="AC48:AD48"/>
    <mergeCell ref="AC49:AD49"/>
    <mergeCell ref="AC50:AD50"/>
    <mergeCell ref="AC51:AD51"/>
    <mergeCell ref="AC52:AD52"/>
    <mergeCell ref="AC53:AD53"/>
    <mergeCell ref="S52:T52"/>
    <mergeCell ref="S53:T53"/>
    <mergeCell ref="L28:L29"/>
    <mergeCell ref="M45:P45"/>
    <mergeCell ref="R45:U45"/>
    <mergeCell ref="W45:Z45"/>
    <mergeCell ref="AB42:AB43"/>
    <mergeCell ref="S54:T54"/>
    <mergeCell ref="R42:R43"/>
    <mergeCell ref="S42:S43"/>
    <mergeCell ref="T42:T43"/>
    <mergeCell ref="U42:U43"/>
    <mergeCell ref="AD16:AD17"/>
    <mergeCell ref="AE16:AE17"/>
    <mergeCell ref="AB26:AB27"/>
    <mergeCell ref="AC26:AC27"/>
    <mergeCell ref="AD26:AD27"/>
    <mergeCell ref="AE26:AE27"/>
    <mergeCell ref="M42:M43"/>
    <mergeCell ref="M35:M36"/>
    <mergeCell ref="W16:W17"/>
    <mergeCell ref="W26:W27"/>
    <mergeCell ref="W35:W36"/>
    <mergeCell ref="W42:W43"/>
    <mergeCell ref="N28:N29"/>
    <mergeCell ref="M28:M29"/>
    <mergeCell ref="P28:P29"/>
    <mergeCell ref="O28:O29"/>
    <mergeCell ref="N26:N27"/>
    <mergeCell ref="O26:O27"/>
    <mergeCell ref="P26:P27"/>
    <mergeCell ref="N35:N36"/>
    <mergeCell ref="O35:O36"/>
    <mergeCell ref="P35:P36"/>
    <mergeCell ref="R26:R27"/>
    <mergeCell ref="S26:S27"/>
    <mergeCell ref="T26:T27"/>
    <mergeCell ref="U26:U27"/>
    <mergeCell ref="R28:R29"/>
    <mergeCell ref="S28:S29"/>
    <mergeCell ref="T28:T29"/>
    <mergeCell ref="U28:U29"/>
    <mergeCell ref="X42:X43"/>
    <mergeCell ref="Y42:Y43"/>
    <mergeCell ref="Z42:Z43"/>
    <mergeCell ref="S56:T56"/>
    <mergeCell ref="S57:T57"/>
    <mergeCell ref="N42:N43"/>
    <mergeCell ref="O42:O43"/>
    <mergeCell ref="P42:P43"/>
    <mergeCell ref="X26:X27"/>
    <mergeCell ref="Y26:Y27"/>
    <mergeCell ref="X52:Y52"/>
    <mergeCell ref="N52:O52"/>
    <mergeCell ref="X47:Y47"/>
    <mergeCell ref="N47:O47"/>
    <mergeCell ref="X35:X36"/>
    <mergeCell ref="Y35:Y36"/>
    <mergeCell ref="S48:T48"/>
    <mergeCell ref="S49:T49"/>
    <mergeCell ref="S50:T50"/>
    <mergeCell ref="S51:T51"/>
    <mergeCell ref="R35:R36"/>
    <mergeCell ref="S35:S36"/>
    <mergeCell ref="T35:T36"/>
    <mergeCell ref="U35:U36"/>
    <mergeCell ref="S58:T58"/>
    <mergeCell ref="N48:O48"/>
    <mergeCell ref="N49:O49"/>
    <mergeCell ref="N50:O50"/>
    <mergeCell ref="N51:O51"/>
    <mergeCell ref="N53:O53"/>
    <mergeCell ref="N54:O54"/>
    <mergeCell ref="X48:Y48"/>
    <mergeCell ref="X49:Y49"/>
    <mergeCell ref="X50:Y50"/>
    <mergeCell ref="X51:Y51"/>
    <mergeCell ref="X53:Y53"/>
    <mergeCell ref="X54:Y54"/>
    <mergeCell ref="J42:J43"/>
    <mergeCell ref="K42:K43"/>
    <mergeCell ref="J35:J36"/>
    <mergeCell ref="K35:K36"/>
    <mergeCell ref="K26:K27"/>
    <mergeCell ref="J16:J17"/>
    <mergeCell ref="K16:K17"/>
    <mergeCell ref="J26:J27"/>
    <mergeCell ref="E3:E4"/>
    <mergeCell ref="G3:G4"/>
    <mergeCell ref="F3:F4"/>
    <mergeCell ref="Z16:Z17"/>
    <mergeCell ref="X16:X17"/>
    <mergeCell ref="Z35:Z36"/>
    <mergeCell ref="D3:D4"/>
    <mergeCell ref="C3:C4"/>
    <mergeCell ref="B3:B4"/>
    <mergeCell ref="A3:A4"/>
    <mergeCell ref="J7:K7"/>
    <mergeCell ref="H3:H4"/>
    <mergeCell ref="O16:O17"/>
    <mergeCell ref="P16:P17"/>
    <mergeCell ref="W5:X5"/>
    <mergeCell ref="M5:N5"/>
    <mergeCell ref="N16:N17"/>
    <mergeCell ref="Y16:Y17"/>
    <mergeCell ref="Z26:Z27"/>
    <mergeCell ref="M16:M17"/>
    <mergeCell ref="M26:M27"/>
    <mergeCell ref="R5:S5"/>
    <mergeCell ref="R16:R17"/>
    <mergeCell ref="S16:S17"/>
    <mergeCell ref="T16:T17"/>
    <mergeCell ref="U16:U17"/>
  </mergeCells>
  <phoneticPr fontId="1" type="noConversion"/>
  <dataValidations count="3">
    <dataValidation type="list" allowBlank="1" showInputMessage="1" showErrorMessage="1" sqref="C5:C124" xr:uid="{2BE5FC10-9244-4935-A1EE-376951374A5F}">
      <formula1>"Prime, Choice, Select, Standard, No Roll"</formula1>
    </dataValidation>
    <dataValidation type="list" allowBlank="1" showInputMessage="1" showErrorMessage="1" sqref="D5:D124" xr:uid="{F3074892-39BD-4550-8B27-5AAF5D115D54}">
      <formula1>"1, 2, 3, 4, 5"</formula1>
    </dataValidation>
    <dataValidation type="list" allowBlank="1" showInputMessage="1" showErrorMessage="1" sqref="E5:H124" xr:uid="{CD94FA1F-A173-4C7C-A8C6-F26EEA5C7450}">
      <formula1>"Yes, No"</formula1>
    </dataValidation>
  </dataValidations>
  <pageMargins left="0.7" right="0.7" top="0.75" bottom="0.75" header="0.3" footer="0.3"/>
  <pageSetup orientation="portrait" r:id="rId1"/>
  <legacyDrawing r:id="rId2"/>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37F408B-2D62-4B79-B871-E79A4AB59B7C}">
  <sheetPr>
    <tabColor theme="9" tint="0.79998168889431442"/>
  </sheetPr>
  <dimension ref="A1:BC197"/>
  <sheetViews>
    <sheetView zoomScaleNormal="100" workbookViewId="0">
      <selection activeCell="BE198" sqref="BE198"/>
    </sheetView>
  </sheetViews>
  <sheetFormatPr defaultColWidth="8.7265625" defaultRowHeight="15.5" x14ac:dyDescent="0.35"/>
  <cols>
    <col min="1" max="1" width="32.6328125" style="1" customWidth="1"/>
    <col min="2" max="2" width="15.90625" style="1" customWidth="1"/>
    <col min="3" max="3" width="15.7265625" style="1" customWidth="1"/>
    <col min="4" max="4" width="17" style="1" customWidth="1"/>
    <col min="5" max="5" width="6.6328125" style="6" customWidth="1"/>
    <col min="6" max="6" width="26.6328125" style="1" customWidth="1"/>
    <col min="7" max="7" width="22.90625" style="1" customWidth="1"/>
    <col min="8" max="9" width="20.6328125" style="1" customWidth="1"/>
    <col min="10" max="10" width="11.7265625" style="1" customWidth="1"/>
    <col min="11" max="11" width="6.6328125" style="1" customWidth="1"/>
    <col min="12" max="12" width="26.6328125" style="1" customWidth="1"/>
    <col min="13" max="13" width="22.54296875" style="1" customWidth="1"/>
    <col min="14" max="15" width="20.6328125" style="1" customWidth="1"/>
    <col min="16" max="16" width="11.7265625" style="1" customWidth="1"/>
    <col min="17" max="17" width="6.6328125" style="6" customWidth="1"/>
    <col min="18" max="18" width="26.6328125" style="6" customWidth="1"/>
    <col min="19" max="19" width="22.54296875" style="6" customWidth="1"/>
    <col min="20" max="21" width="20.6328125" style="6" customWidth="1"/>
    <col min="22" max="22" width="11.7265625" style="6" customWidth="1"/>
    <col min="23" max="23" width="6.6328125" style="6" customWidth="1"/>
    <col min="24" max="24" width="26.6328125" style="6" customWidth="1"/>
    <col min="25" max="25" width="22.54296875" style="6" customWidth="1"/>
    <col min="26" max="27" width="20.6328125" style="6" customWidth="1"/>
    <col min="28" max="28" width="11.7265625" style="6" customWidth="1"/>
    <col min="29" max="29" width="6.6328125" style="6" customWidth="1"/>
    <col min="30" max="30" width="26.6328125" style="6" customWidth="1"/>
    <col min="31" max="31" width="22.54296875" style="6" customWidth="1"/>
    <col min="32" max="33" width="20.6328125" style="6" customWidth="1"/>
    <col min="34" max="34" width="11.7265625" style="6" customWidth="1"/>
    <col min="35" max="35" width="6.6328125" style="6" customWidth="1"/>
    <col min="36" max="36" width="26.6328125" style="6" customWidth="1"/>
    <col min="37" max="37" width="22.54296875" style="6" customWidth="1"/>
    <col min="38" max="39" width="20.6328125" style="6" customWidth="1"/>
    <col min="40" max="40" width="11.7265625" style="6" customWidth="1"/>
    <col min="41" max="53" width="8.7265625" style="6"/>
    <col min="54" max="16384" width="8.7265625" style="1"/>
  </cols>
  <sheetData>
    <row r="1" spans="1:40" ht="18.5" x14ac:dyDescent="0.45">
      <c r="A1" s="127" t="s">
        <v>53</v>
      </c>
      <c r="B1" s="128"/>
      <c r="C1" s="128"/>
      <c r="D1" s="128"/>
      <c r="E1" s="128"/>
      <c r="F1" s="128"/>
      <c r="G1" s="128"/>
      <c r="H1" s="128"/>
      <c r="I1" s="128"/>
      <c r="J1" s="128"/>
      <c r="K1" s="128"/>
      <c r="L1" s="128"/>
      <c r="M1" s="128"/>
      <c r="N1" s="128"/>
      <c r="O1" s="128"/>
      <c r="P1" s="128"/>
      <c r="Q1" s="128"/>
      <c r="R1" s="128"/>
      <c r="S1" s="128"/>
      <c r="T1" s="128"/>
      <c r="U1" s="128"/>
      <c r="V1" s="128"/>
      <c r="W1" s="128"/>
      <c r="X1" s="128"/>
      <c r="Y1" s="128"/>
      <c r="Z1" s="128"/>
      <c r="AA1" s="128"/>
      <c r="AB1" s="128"/>
      <c r="AC1" s="128"/>
      <c r="AD1" s="128"/>
      <c r="AE1" s="128"/>
      <c r="AF1" s="128"/>
      <c r="AG1" s="128"/>
      <c r="AH1" s="128"/>
      <c r="AI1" s="128"/>
      <c r="AJ1" s="128"/>
      <c r="AK1" s="128"/>
      <c r="AL1" s="128"/>
      <c r="AM1" s="128"/>
      <c r="AN1" s="129"/>
    </row>
    <row r="2" spans="1:40" x14ac:dyDescent="0.35">
      <c r="A2" s="6"/>
      <c r="B2" s="6"/>
      <c r="C2" s="6"/>
      <c r="D2" s="6"/>
      <c r="F2" s="6"/>
      <c r="G2" s="6"/>
      <c r="H2" s="6"/>
      <c r="I2" s="6"/>
      <c r="J2" s="6"/>
      <c r="K2" s="6"/>
      <c r="L2" s="6"/>
      <c r="M2" s="6"/>
      <c r="N2" s="6"/>
      <c r="O2" s="6"/>
      <c r="P2" s="6"/>
    </row>
    <row r="3" spans="1:40" ht="17" x14ac:dyDescent="0.4">
      <c r="A3" s="30" t="s">
        <v>100</v>
      </c>
      <c r="B3" s="13">
        <v>16.82</v>
      </c>
      <c r="C3" s="6"/>
      <c r="D3" s="6"/>
      <c r="F3" s="6"/>
      <c r="G3" s="6"/>
      <c r="H3" s="6"/>
      <c r="I3" s="6"/>
      <c r="J3" s="6"/>
      <c r="K3" s="6"/>
      <c r="L3" s="6"/>
      <c r="M3" s="6"/>
      <c r="N3" s="6"/>
      <c r="O3" s="6"/>
      <c r="P3" s="6"/>
    </row>
    <row r="4" spans="1:40" x14ac:dyDescent="0.35">
      <c r="A4" s="6"/>
      <c r="B4" s="6"/>
      <c r="C4" s="33"/>
      <c r="D4" s="33"/>
      <c r="E4" s="33"/>
      <c r="F4" s="6"/>
      <c r="G4" s="6"/>
      <c r="H4" s="6"/>
      <c r="I4" s="6"/>
      <c r="J4" s="6"/>
      <c r="K4" s="6"/>
      <c r="L4" s="6"/>
      <c r="N4" s="6"/>
      <c r="O4" s="6"/>
      <c r="P4" s="6"/>
    </row>
    <row r="5" spans="1:40" ht="17" x14ac:dyDescent="0.4">
      <c r="A5" s="30" t="s">
        <v>38</v>
      </c>
      <c r="B5" s="13">
        <v>35.31</v>
      </c>
      <c r="C5" s="6"/>
      <c r="D5" s="6"/>
      <c r="F5" s="86" t="s">
        <v>77</v>
      </c>
      <c r="G5" s="87"/>
      <c r="H5" s="35"/>
      <c r="I5" s="6"/>
      <c r="J5" s="6"/>
      <c r="K5" s="6"/>
      <c r="L5" s="86" t="s">
        <v>79</v>
      </c>
      <c r="M5" s="87"/>
      <c r="N5" s="6"/>
      <c r="O5" s="6"/>
      <c r="P5" s="6"/>
      <c r="R5" s="86" t="s">
        <v>78</v>
      </c>
      <c r="S5" s="87"/>
      <c r="T5" s="35"/>
      <c r="X5" s="86" t="s">
        <v>97</v>
      </c>
      <c r="Y5" s="87"/>
      <c r="AD5" s="86" t="s">
        <v>98</v>
      </c>
      <c r="AE5" s="87"/>
      <c r="AF5" s="35"/>
      <c r="AJ5" s="86" t="s">
        <v>99</v>
      </c>
      <c r="AK5" s="87"/>
    </row>
    <row r="6" spans="1:40" ht="15.5" customHeight="1" x14ac:dyDescent="0.35">
      <c r="A6" s="6"/>
      <c r="B6" s="6"/>
      <c r="C6" s="6"/>
      <c r="D6" s="6"/>
      <c r="F6" s="36" t="s">
        <v>22</v>
      </c>
      <c r="G6" s="37">
        <v>61</v>
      </c>
      <c r="H6" s="6"/>
      <c r="I6" s="6"/>
      <c r="J6" s="6"/>
      <c r="K6" s="6"/>
      <c r="L6" s="36" t="s">
        <v>22</v>
      </c>
      <c r="M6" s="37">
        <v>61</v>
      </c>
      <c r="N6" s="6"/>
      <c r="O6" s="6"/>
      <c r="P6" s="6"/>
      <c r="R6" s="36" t="s">
        <v>22</v>
      </c>
      <c r="S6" s="37">
        <v>61.5</v>
      </c>
      <c r="X6" s="36" t="s">
        <v>22</v>
      </c>
      <c r="Y6" s="37">
        <v>61.5</v>
      </c>
      <c r="AD6" s="36" t="s">
        <v>22</v>
      </c>
      <c r="AE6" s="37">
        <v>61.5</v>
      </c>
      <c r="AJ6" s="36" t="s">
        <v>22</v>
      </c>
      <c r="AK6" s="37">
        <v>63.5</v>
      </c>
    </row>
    <row r="7" spans="1:40" ht="17" customHeight="1" x14ac:dyDescent="0.4">
      <c r="A7" s="86" t="s">
        <v>3</v>
      </c>
      <c r="B7" s="87"/>
      <c r="C7" s="38"/>
      <c r="D7" s="38"/>
      <c r="E7" s="38"/>
      <c r="F7" s="36" t="s">
        <v>28</v>
      </c>
      <c r="G7" s="70">
        <f>'Contract Comparison Tool'!N7</f>
        <v>49000</v>
      </c>
      <c r="H7" s="6"/>
      <c r="I7" s="6"/>
      <c r="J7" s="6"/>
      <c r="K7" s="6"/>
      <c r="L7" s="36" t="s">
        <v>28</v>
      </c>
      <c r="M7" s="70">
        <f>G7</f>
        <v>49000</v>
      </c>
      <c r="N7" s="6"/>
      <c r="O7" s="6"/>
      <c r="P7" s="6"/>
      <c r="R7" s="36" t="s">
        <v>28</v>
      </c>
      <c r="S7" s="70">
        <f>'Contract Comparison Tool'!X7</f>
        <v>49000</v>
      </c>
      <c r="X7" s="36" t="s">
        <v>28</v>
      </c>
      <c r="Y7" s="70">
        <f>'Contract Comparison Tool'!AC7</f>
        <v>49000</v>
      </c>
      <c r="AD7" s="36" t="s">
        <v>28</v>
      </c>
      <c r="AE7" s="70">
        <f>'Contract Comparison Tool'!AH7</f>
        <v>49000</v>
      </c>
      <c r="AJ7" s="36" t="s">
        <v>28</v>
      </c>
      <c r="AK7" s="70">
        <f>'Contract Comparison Tool'!AM7</f>
        <v>49000</v>
      </c>
    </row>
    <row r="8" spans="1:40" x14ac:dyDescent="0.35">
      <c r="A8" s="36" t="s">
        <v>17</v>
      </c>
      <c r="B8" s="40">
        <f>'Contract Comparison Tool'!K8</f>
        <v>35</v>
      </c>
      <c r="C8" s="6"/>
      <c r="D8" s="6"/>
      <c r="F8" s="36" t="s">
        <v>29</v>
      </c>
      <c r="G8" s="71" cm="1">
        <f t="array" ref="G8">_xlfn.IFS(B10&gt;(G7+(G7*0.03)), (B10-(G7+(G7*0.03))), B10&lt;(G7-(G7*0.03)), (B10-(G7-(G7*0.03))), B10&lt;(G7+(G7*0.03)), "0", B10&gt;(G7-(G7*0.03)), "0")</f>
        <v>810</v>
      </c>
      <c r="H8" s="6"/>
      <c r="I8" s="6"/>
      <c r="J8" s="6"/>
      <c r="K8" s="6"/>
      <c r="L8" s="36" t="s">
        <v>29</v>
      </c>
      <c r="M8" s="72" cm="1">
        <f t="array" ref="M8">_xlfn.IFS(B10&gt;(M7+(M7*0.03)), (B10-(M7+(M7*0.03))), B10&lt;(M7-(M7*0.03)), (B10-(M7-(M7*0.03))), B10&lt;(M7+(M7*0.03)), "0", B10&gt;(M7-(M7*0.03)), "0")</f>
        <v>810</v>
      </c>
      <c r="N8" s="6"/>
      <c r="O8" s="6"/>
      <c r="P8" s="6"/>
      <c r="R8" s="36" t="s">
        <v>29</v>
      </c>
      <c r="S8" s="71" cm="1">
        <f t="array" ref="S8">_xlfn.IFS(B10&gt;(S7+(S7*0.03)), (B10-(S7+(S7*0.03))), B10&lt;(S7-(S7*0.03)), (B10-(S7-(S7*0.03))), B10&lt;(S7+(S7*0.03)), "0", B10&gt;(S7-(S7*0.03)), "0")</f>
        <v>810</v>
      </c>
      <c r="X8" s="36" t="s">
        <v>29</v>
      </c>
      <c r="Y8" s="71" cm="1">
        <f t="array" ref="Y8">_xlfn.IFS(B10&gt;(Y7+(Y7*0.03)), (B10-(Y7+(Y7*0.03))), B10&lt;(Y7-(Y7*0.03)), (B10-(Y7-(Y7*0.03))), B10&lt;(Y7+(Y7*0.03)), "0", B10&gt;(Y7-(Y7*0.03)), "0")</f>
        <v>810</v>
      </c>
      <c r="AD8" s="36" t="s">
        <v>29</v>
      </c>
      <c r="AE8" s="71" cm="1">
        <f t="array" ref="AE8">_xlfn.IFS(B10&gt;(AE7+(AE7*0.03)), (B10-(AE7+(AE7*0.03))), B10&lt;(AE7-(AE7*0.03)), (B10-(AE7-(AE7*0.03))), B10&lt;(AE7+(AE7*0.03)), "0", B10&gt;(AE7-(AE7*0.03)), "0")</f>
        <v>810</v>
      </c>
      <c r="AJ8" s="36" t="s">
        <v>29</v>
      </c>
      <c r="AK8" s="71" cm="1">
        <f t="array" ref="AK8">_xlfn.IFS(B10&gt;(AK7+(AK7*0.03)), (B10-(AK7+(AK7*0.03))), B10&lt;(AK7-(AK7*0.03)), (B10-(AK7-(AK7*0.03))), B10&lt;(AK7+(AK7*0.03)), "0", B10&gt;(AK7-(AK7*0.03)), "0")</f>
        <v>810</v>
      </c>
    </row>
    <row r="9" spans="1:40" x14ac:dyDescent="0.35">
      <c r="A9" s="36" t="s">
        <v>68</v>
      </c>
      <c r="B9" s="40">
        <f>'Contract Comparison Tool'!K9</f>
        <v>0</v>
      </c>
      <c r="C9" s="6"/>
      <c r="D9" s="6"/>
      <c r="F9" s="36" t="s">
        <v>25</v>
      </c>
      <c r="G9" s="13">
        <f>'Contract Comparison Tool'!N9</f>
        <v>190</v>
      </c>
      <c r="H9" s="6"/>
      <c r="I9" s="6"/>
      <c r="J9" s="6"/>
      <c r="K9" s="6"/>
      <c r="L9" s="36" t="s">
        <v>25</v>
      </c>
      <c r="M9" s="13">
        <f>'Contract Comparison Tool'!S9</f>
        <v>190</v>
      </c>
      <c r="N9" s="6"/>
      <c r="O9" s="6"/>
      <c r="P9" s="6"/>
      <c r="R9" s="36" t="s">
        <v>25</v>
      </c>
      <c r="S9" s="13">
        <f>'Contract Comparison Tool'!X9</f>
        <v>190</v>
      </c>
      <c r="X9" s="36" t="s">
        <v>25</v>
      </c>
      <c r="Y9" s="13">
        <f>'Contract Comparison Tool'!AC9</f>
        <v>190</v>
      </c>
      <c r="AD9" s="36" t="s">
        <v>25</v>
      </c>
      <c r="AE9" s="13">
        <f>'Contract Comparison Tool'!AH9</f>
        <v>190</v>
      </c>
      <c r="AJ9" s="36" t="s">
        <v>25</v>
      </c>
      <c r="AK9" s="13">
        <f>'Contract Comparison Tool'!AM9</f>
        <v>190</v>
      </c>
    </row>
    <row r="10" spans="1:40" x14ac:dyDescent="0.35">
      <c r="A10" s="36" t="s">
        <v>56</v>
      </c>
      <c r="B10" s="27">
        <f>'Contract Comparison Tool'!K10</f>
        <v>51280</v>
      </c>
      <c r="C10" s="6"/>
      <c r="D10" s="6"/>
      <c r="E10" s="43"/>
      <c r="F10" s="36" t="s">
        <v>26</v>
      </c>
      <c r="G10" s="13">
        <f>'Contract Comparison Tool'!N10</f>
        <v>-12</v>
      </c>
      <c r="H10" s="6"/>
      <c r="I10" s="6"/>
      <c r="J10" s="6"/>
      <c r="K10" s="6"/>
      <c r="L10" s="36" t="s">
        <v>26</v>
      </c>
      <c r="M10" s="13">
        <f>'Contract Comparison Tool'!S10</f>
        <v>-12</v>
      </c>
      <c r="N10" s="6"/>
      <c r="O10" s="6"/>
      <c r="P10" s="6"/>
      <c r="R10" s="36" t="s">
        <v>26</v>
      </c>
      <c r="S10" s="13">
        <f>'Contract Comparison Tool'!X10</f>
        <v>-8</v>
      </c>
      <c r="X10" s="36" t="s">
        <v>26</v>
      </c>
      <c r="Y10" s="13">
        <f>'Contract Comparison Tool'!AC10</f>
        <v>-4</v>
      </c>
      <c r="AD10" s="36" t="s">
        <v>26</v>
      </c>
      <c r="AE10" s="13">
        <f>'Contract Comparison Tool'!AH10</f>
        <v>-4</v>
      </c>
      <c r="AJ10" s="36" t="s">
        <v>26</v>
      </c>
      <c r="AK10" s="13">
        <f>'Contract Comparison Tool'!AM10</f>
        <v>0</v>
      </c>
    </row>
    <row r="11" spans="1:40" x14ac:dyDescent="0.35">
      <c r="A11" s="36" t="s">
        <v>57</v>
      </c>
      <c r="B11" s="70">
        <f>B10/B8</f>
        <v>1465.1428571428571</v>
      </c>
      <c r="C11" s="43"/>
      <c r="D11" s="43"/>
      <c r="F11" s="36" t="s">
        <v>23</v>
      </c>
      <c r="G11" s="42">
        <f>G9+G10</f>
        <v>178</v>
      </c>
      <c r="H11" s="6"/>
      <c r="I11" s="6"/>
      <c r="J11" s="6"/>
      <c r="K11" s="6"/>
      <c r="L11" s="36" t="s">
        <v>23</v>
      </c>
      <c r="M11" s="42">
        <f>M9+M10</f>
        <v>178</v>
      </c>
      <c r="N11" s="33"/>
      <c r="O11" s="33"/>
      <c r="P11" s="33"/>
      <c r="Q11" s="33"/>
      <c r="R11" s="36" t="s">
        <v>23</v>
      </c>
      <c r="S11" s="42">
        <f>S9+S10</f>
        <v>182</v>
      </c>
      <c r="X11" s="36" t="s">
        <v>23</v>
      </c>
      <c r="Y11" s="42">
        <f>Y9+Y10</f>
        <v>186</v>
      </c>
      <c r="Z11" s="33"/>
      <c r="AA11" s="33"/>
      <c r="AB11" s="33"/>
      <c r="AD11" s="36" t="s">
        <v>23</v>
      </c>
      <c r="AE11" s="42">
        <f>AE9+AE10</f>
        <v>186</v>
      </c>
      <c r="AJ11" s="36" t="s">
        <v>23</v>
      </c>
      <c r="AK11" s="42">
        <f>AK9+AK10</f>
        <v>190</v>
      </c>
      <c r="AL11" s="33"/>
      <c r="AM11" s="33"/>
      <c r="AN11" s="33"/>
    </row>
    <row r="12" spans="1:40" x14ac:dyDescent="0.35">
      <c r="A12" s="36" t="s">
        <v>58</v>
      </c>
      <c r="B12" s="70">
        <f>'Contract Comparison Tool'!K12</f>
        <v>30519</v>
      </c>
      <c r="C12" s="6"/>
      <c r="D12" s="6"/>
      <c r="E12" s="43"/>
      <c r="F12" s="36" t="s">
        <v>24</v>
      </c>
      <c r="G12" s="42">
        <f>G11/(G6/100)</f>
        <v>291.80327868852459</v>
      </c>
      <c r="H12" s="6"/>
      <c r="I12" s="6"/>
      <c r="J12" s="6"/>
      <c r="K12" s="6"/>
      <c r="L12" s="36" t="s">
        <v>24</v>
      </c>
      <c r="M12" s="42">
        <f>M11/(M6/100)</f>
        <v>291.80327868852459</v>
      </c>
      <c r="N12" s="33"/>
      <c r="O12" s="33"/>
      <c r="P12" s="33"/>
      <c r="Q12" s="33"/>
      <c r="R12" s="36" t="s">
        <v>24</v>
      </c>
      <c r="S12" s="42">
        <f>S11/(S6/100)</f>
        <v>295.9349593495935</v>
      </c>
      <c r="X12" s="36" t="s">
        <v>24</v>
      </c>
      <c r="Y12" s="42">
        <f>Y11/(Y6/100)</f>
        <v>302.4390243902439</v>
      </c>
      <c r="Z12" s="33"/>
      <c r="AA12" s="33"/>
      <c r="AB12" s="33"/>
      <c r="AD12" s="36" t="s">
        <v>24</v>
      </c>
      <c r="AE12" s="42">
        <f>AE11/(AE6/100)</f>
        <v>302.4390243902439</v>
      </c>
      <c r="AJ12" s="36" t="s">
        <v>24</v>
      </c>
      <c r="AK12" s="42">
        <f>AK11/(AK6/100)</f>
        <v>299.21259842519686</v>
      </c>
      <c r="AL12" s="33"/>
      <c r="AM12" s="33"/>
      <c r="AN12" s="33"/>
    </row>
    <row r="13" spans="1:40" x14ac:dyDescent="0.35">
      <c r="A13" s="36" t="s">
        <v>59</v>
      </c>
      <c r="B13" s="70">
        <f>B12/B8</f>
        <v>871.97142857142853</v>
      </c>
      <c r="C13" s="43"/>
      <c r="D13" s="43"/>
      <c r="E13" s="44"/>
      <c r="F13" s="36" t="s">
        <v>27</v>
      </c>
      <c r="G13" s="13">
        <f>'Contract Comparison Tool'!N13</f>
        <v>176</v>
      </c>
      <c r="H13" s="6"/>
      <c r="I13" s="6"/>
      <c r="J13" s="6"/>
      <c r="K13" s="6"/>
      <c r="L13" s="36" t="s">
        <v>27</v>
      </c>
      <c r="M13" s="13">
        <f>'Contract Comparison Tool'!S13</f>
        <v>176</v>
      </c>
      <c r="N13" s="6"/>
      <c r="O13" s="6"/>
      <c r="P13" s="6"/>
      <c r="R13" s="36" t="s">
        <v>27</v>
      </c>
      <c r="S13" s="13">
        <f>'Contract Comparison Tool'!X13</f>
        <v>176</v>
      </c>
      <c r="X13" s="36" t="s">
        <v>27</v>
      </c>
      <c r="Y13" s="13">
        <f>'Contract Comparison Tool'!AC13</f>
        <v>176</v>
      </c>
      <c r="AD13" s="36" t="s">
        <v>27</v>
      </c>
      <c r="AE13" s="13">
        <f>'Contract Comparison Tool'!AH13</f>
        <v>176</v>
      </c>
      <c r="AJ13" s="36" t="s">
        <v>27</v>
      </c>
      <c r="AK13" s="13">
        <f>'Contract Comparison Tool'!AM13</f>
        <v>176</v>
      </c>
    </row>
    <row r="14" spans="1:40" x14ac:dyDescent="0.35">
      <c r="A14" s="36" t="s">
        <v>18</v>
      </c>
      <c r="B14" s="37">
        <f>(B12/B10)*100</f>
        <v>59.514430577223088</v>
      </c>
      <c r="C14" s="44"/>
      <c r="D14" s="44"/>
      <c r="F14" s="67" t="s">
        <v>69</v>
      </c>
      <c r="G14" s="42">
        <f>G13/(G6/100)</f>
        <v>288.52459016393442</v>
      </c>
      <c r="H14" s="6"/>
      <c r="I14" s="6"/>
      <c r="J14" s="6"/>
      <c r="K14" s="6"/>
      <c r="L14" s="67" t="s">
        <v>69</v>
      </c>
      <c r="M14" s="42">
        <f>M13/(M6/100)</f>
        <v>288.52459016393442</v>
      </c>
      <c r="O14" s="6"/>
      <c r="P14" s="6"/>
      <c r="R14" s="67" t="s">
        <v>69</v>
      </c>
      <c r="S14" s="42">
        <f>S13/(S6/100)</f>
        <v>286.17886178861789</v>
      </c>
      <c r="X14" s="67" t="s">
        <v>69</v>
      </c>
      <c r="Y14" s="42">
        <f>Y13/(Y6/100)</f>
        <v>286.17886178861789</v>
      </c>
      <c r="AD14" s="67" t="s">
        <v>69</v>
      </c>
      <c r="AE14" s="42">
        <f>AE13/(AE6/100)</f>
        <v>286.17886178861789</v>
      </c>
      <c r="AJ14" s="67" t="s">
        <v>69</v>
      </c>
      <c r="AK14" s="42">
        <f>AK13/(AK6/100)</f>
        <v>277.16535433070868</v>
      </c>
    </row>
    <row r="15" spans="1:40" ht="14.5" customHeight="1" x14ac:dyDescent="0.35">
      <c r="A15" s="32"/>
      <c r="B15" s="6"/>
      <c r="C15" s="6"/>
      <c r="D15" s="6"/>
      <c r="F15" s="6"/>
      <c r="G15" s="6"/>
      <c r="H15" s="6"/>
      <c r="I15" s="6"/>
      <c r="J15" s="6"/>
      <c r="K15" s="6"/>
      <c r="L15" s="6"/>
      <c r="M15" s="6"/>
      <c r="N15" s="6"/>
      <c r="O15" s="6"/>
      <c r="P15" s="6"/>
      <c r="Q15" s="38"/>
      <c r="Z15" s="73"/>
      <c r="AL15" s="73"/>
    </row>
    <row r="16" spans="1:40" ht="17" customHeight="1" x14ac:dyDescent="0.35">
      <c r="A16" s="84" t="s">
        <v>20</v>
      </c>
      <c r="B16" s="84" t="s">
        <v>54</v>
      </c>
      <c r="C16" s="98" t="s">
        <v>49</v>
      </c>
      <c r="D16" s="98" t="s">
        <v>55</v>
      </c>
      <c r="E16" s="38"/>
      <c r="F16" s="99" t="s">
        <v>42</v>
      </c>
      <c r="G16" s="99" t="s">
        <v>64</v>
      </c>
      <c r="H16" s="84" t="s">
        <v>36</v>
      </c>
      <c r="I16" s="90" t="s">
        <v>50</v>
      </c>
      <c r="J16" s="82" t="s">
        <v>35</v>
      </c>
      <c r="K16" s="38"/>
      <c r="L16" s="99" t="s">
        <v>20</v>
      </c>
      <c r="M16" s="99" t="s">
        <v>64</v>
      </c>
      <c r="N16" s="84" t="s">
        <v>36</v>
      </c>
      <c r="O16" s="85" t="s">
        <v>50</v>
      </c>
      <c r="P16" s="82" t="s">
        <v>35</v>
      </c>
      <c r="Q16" s="38"/>
      <c r="R16" s="99" t="s">
        <v>42</v>
      </c>
      <c r="S16" s="99" t="s">
        <v>64</v>
      </c>
      <c r="T16" s="84" t="s">
        <v>36</v>
      </c>
      <c r="U16" s="90" t="s">
        <v>50</v>
      </c>
      <c r="V16" s="82" t="s">
        <v>35</v>
      </c>
      <c r="W16" s="38"/>
      <c r="X16" s="99" t="s">
        <v>20</v>
      </c>
      <c r="Y16" s="99" t="s">
        <v>64</v>
      </c>
      <c r="Z16" s="83" t="s">
        <v>36</v>
      </c>
      <c r="AA16" s="90" t="s">
        <v>50</v>
      </c>
      <c r="AB16" s="82" t="s">
        <v>35</v>
      </c>
      <c r="AD16" s="99" t="s">
        <v>42</v>
      </c>
      <c r="AE16" s="99" t="s">
        <v>64</v>
      </c>
      <c r="AF16" s="84" t="s">
        <v>36</v>
      </c>
      <c r="AG16" s="90" t="s">
        <v>50</v>
      </c>
      <c r="AH16" s="82" t="s">
        <v>35</v>
      </c>
      <c r="AI16" s="38"/>
      <c r="AJ16" s="99" t="s">
        <v>20</v>
      </c>
      <c r="AK16" s="99" t="s">
        <v>64</v>
      </c>
      <c r="AL16" s="83" t="s">
        <v>36</v>
      </c>
      <c r="AM16" s="90" t="s">
        <v>50</v>
      </c>
      <c r="AN16" s="82" t="s">
        <v>35</v>
      </c>
    </row>
    <row r="17" spans="1:40" ht="15.5" customHeight="1" x14ac:dyDescent="0.35">
      <c r="A17" s="84"/>
      <c r="B17" s="84"/>
      <c r="C17" s="98"/>
      <c r="D17" s="98"/>
      <c r="F17" s="100"/>
      <c r="G17" s="100"/>
      <c r="H17" s="84"/>
      <c r="I17" s="91"/>
      <c r="J17" s="83"/>
      <c r="K17" s="38"/>
      <c r="L17" s="114"/>
      <c r="M17" s="100"/>
      <c r="N17" s="84"/>
      <c r="O17" s="85"/>
      <c r="P17" s="83"/>
      <c r="R17" s="100"/>
      <c r="S17" s="100"/>
      <c r="T17" s="84"/>
      <c r="U17" s="91"/>
      <c r="V17" s="83"/>
      <c r="W17" s="38"/>
      <c r="X17" s="114"/>
      <c r="Y17" s="100"/>
      <c r="Z17" s="84"/>
      <c r="AA17" s="91"/>
      <c r="AB17" s="83"/>
      <c r="AD17" s="100"/>
      <c r="AE17" s="100"/>
      <c r="AF17" s="84"/>
      <c r="AG17" s="91"/>
      <c r="AH17" s="83"/>
      <c r="AI17" s="38"/>
      <c r="AJ17" s="114"/>
      <c r="AK17" s="100"/>
      <c r="AL17" s="84"/>
      <c r="AM17" s="91"/>
      <c r="AN17" s="83"/>
    </row>
    <row r="18" spans="1:40" x14ac:dyDescent="0.35">
      <c r="A18" s="36" t="s">
        <v>9</v>
      </c>
      <c r="B18" s="40">
        <f>'Contract Comparison Tool'!K18</f>
        <v>0</v>
      </c>
      <c r="C18" s="20">
        <v>0</v>
      </c>
      <c r="D18" s="40">
        <f>B18+C18</f>
        <v>0</v>
      </c>
      <c r="F18" s="36" t="s">
        <v>9</v>
      </c>
      <c r="G18" s="74" t="str">
        <f>IFERROR(AVERAGEIF('Contract Comparison Tool'!$B$5:$B$124,"&lt;600", 'Contract Comparison Tool'!$B$5:$B$124), "590")</f>
        <v>590</v>
      </c>
      <c r="H18" s="41">
        <f>G18*$D18</f>
        <v>0</v>
      </c>
      <c r="I18" s="13">
        <v>-15</v>
      </c>
      <c r="J18" s="48">
        <f t="shared" ref="J18:J25" si="0">H18*I18/100</f>
        <v>0</v>
      </c>
      <c r="K18" s="6"/>
      <c r="L18" s="36" t="s">
        <v>9</v>
      </c>
      <c r="M18" s="74" t="str">
        <f>IFERROR(AVERAGEIF('Contract Comparison Tool'!$B$5:$B$124,"&lt;600", 'Contract Comparison Tool'!$B$5:$B$124), "590")</f>
        <v>590</v>
      </c>
      <c r="N18" s="41">
        <f>M18*$D18</f>
        <v>0</v>
      </c>
      <c r="O18" s="13">
        <v>-15</v>
      </c>
      <c r="P18" s="49">
        <f t="shared" ref="P18:P23" si="1">(N18*O18/100)</f>
        <v>0</v>
      </c>
      <c r="R18" s="36" t="s">
        <v>9</v>
      </c>
      <c r="S18" s="23" t="str">
        <f>IFERROR(AVERAGEIF('Contract Comparison Tool'!$B$5:$B$124,"&lt;600", 'Contract Comparison Tool'!$B$5:$B$124), "590")</f>
        <v>590</v>
      </c>
      <c r="T18" s="41">
        <f>S18*$D18</f>
        <v>0</v>
      </c>
      <c r="U18" s="13">
        <v>-20</v>
      </c>
      <c r="V18" s="48">
        <f t="shared" ref="V18:V25" si="2">T18*U18/100</f>
        <v>0</v>
      </c>
      <c r="X18" s="36" t="s">
        <v>9</v>
      </c>
      <c r="Y18" s="23" t="str">
        <f>IFERROR(AVERAGEIF('Contract Comparison Tool'!$B$5:$B$124,"&lt;600", 'Contract Comparison Tool'!$B$5:$B$124), "590")</f>
        <v>590</v>
      </c>
      <c r="Z18" s="41">
        <f>Y18*$D18</f>
        <v>0</v>
      </c>
      <c r="AA18" s="13">
        <v>-20</v>
      </c>
      <c r="AB18" s="49">
        <f t="shared" ref="AB18:AB25" si="3">(Z18*AA18/100)</f>
        <v>0</v>
      </c>
      <c r="AD18" s="36" t="s">
        <v>9</v>
      </c>
      <c r="AE18" s="23" t="str">
        <f>IFERROR(AVERAGEIF('Contract Comparison Tool'!$B$5:$B$124,"&lt;600", 'Contract Comparison Tool'!$B$5:$B$124), "590")</f>
        <v>590</v>
      </c>
      <c r="AF18" s="41">
        <f>AE18*$D18</f>
        <v>0</v>
      </c>
      <c r="AG18" s="13">
        <v>-20</v>
      </c>
      <c r="AH18" s="48">
        <f t="shared" ref="AH18:AH25" si="4">AF18*AG18/100</f>
        <v>0</v>
      </c>
      <c r="AJ18" s="36" t="s">
        <v>9</v>
      </c>
      <c r="AK18" s="23" t="str">
        <f>IFERROR(AVERAGEIF('Contract Comparison Tool'!$B$5:$B$124,"&lt;600", 'Contract Comparison Tool'!$B$5:$B$124), "590")</f>
        <v>590</v>
      </c>
      <c r="AL18" s="41">
        <f>AK18*$D18</f>
        <v>0</v>
      </c>
      <c r="AM18" s="13">
        <v>-15</v>
      </c>
      <c r="AN18" s="49">
        <f t="shared" ref="AN18:AN25" si="5">(AL18*AM18/100)</f>
        <v>0</v>
      </c>
    </row>
    <row r="19" spans="1:40" x14ac:dyDescent="0.35">
      <c r="A19" s="36" t="s">
        <v>10</v>
      </c>
      <c r="B19" s="40">
        <f>'Contract Comparison Tool'!K19</f>
        <v>0</v>
      </c>
      <c r="C19" s="20">
        <v>0</v>
      </c>
      <c r="D19" s="40">
        <f t="shared" ref="D19:D25" si="6">B19+C19</f>
        <v>0</v>
      </c>
      <c r="F19" s="36" t="s">
        <v>10</v>
      </c>
      <c r="G19" s="74" t="str">
        <f>IFERROR(AVERAGEIFS('Contract Comparison Tool'!$B$5:$B$124, 'Contract Comparison Tool'!$B$5:$B$124,"&gt;=600",'Contract Comparison Tool'!$B$5:$B$124, "&lt;650"), "625")</f>
        <v>625</v>
      </c>
      <c r="H19" s="41">
        <f t="shared" ref="H19:H25" si="7">G19*$D19</f>
        <v>0</v>
      </c>
      <c r="I19" s="13">
        <v>-15</v>
      </c>
      <c r="J19" s="48">
        <f t="shared" si="0"/>
        <v>0</v>
      </c>
      <c r="K19" s="6"/>
      <c r="L19" s="36" t="s">
        <v>10</v>
      </c>
      <c r="M19" s="74" t="str">
        <f>IFERROR(AVERAGEIFS('Contract Comparison Tool'!$B$5:$B$124, 'Contract Comparison Tool'!$B$5:$B$124,"&gt;=600",'Contract Comparison Tool'!$B$5:$B$124, "&lt;650"), "625")</f>
        <v>625</v>
      </c>
      <c r="N19" s="41">
        <f t="shared" ref="N19:N25" si="8">M19*$D19</f>
        <v>0</v>
      </c>
      <c r="O19" s="13">
        <v>-15</v>
      </c>
      <c r="P19" s="49">
        <f t="shared" si="1"/>
        <v>0</v>
      </c>
      <c r="Q19" s="33"/>
      <c r="R19" s="36" t="s">
        <v>10</v>
      </c>
      <c r="S19" s="23" t="str">
        <f>IFERROR(AVERAGEIFS('Contract Comparison Tool'!$B$5:$B$124, 'Contract Comparison Tool'!$B$5:$B$124,"&gt;=600",'Contract Comparison Tool'!$B$5:$B$124, "&lt;650"), "625")</f>
        <v>625</v>
      </c>
      <c r="T19" s="41">
        <f t="shared" ref="T19:T25" si="9">S19*$D19</f>
        <v>0</v>
      </c>
      <c r="U19" s="13">
        <v>-15</v>
      </c>
      <c r="V19" s="48">
        <f t="shared" si="2"/>
        <v>0</v>
      </c>
      <c r="X19" s="36" t="s">
        <v>10</v>
      </c>
      <c r="Y19" s="23" t="str">
        <f>IFERROR(AVERAGEIFS('Contract Comparison Tool'!$B$5:$B$124, 'Contract Comparison Tool'!$B$5:$B$124,"&gt;=600",'Contract Comparison Tool'!$B$5:$B$124, "&lt;650"), "625")</f>
        <v>625</v>
      </c>
      <c r="Z19" s="41">
        <f t="shared" ref="Z19:Z25" si="10">Y19*$D19</f>
        <v>0</v>
      </c>
      <c r="AA19" s="13">
        <v>-15</v>
      </c>
      <c r="AB19" s="49">
        <f t="shared" si="3"/>
        <v>0</v>
      </c>
      <c r="AD19" s="36" t="s">
        <v>10</v>
      </c>
      <c r="AE19" s="23" t="str">
        <f>IFERROR(AVERAGEIFS('Contract Comparison Tool'!$B$5:$B$124, 'Contract Comparison Tool'!$B$5:$B$124,"&gt;=600",'Contract Comparison Tool'!$B$5:$B$124, "&lt;650"), "625")</f>
        <v>625</v>
      </c>
      <c r="AF19" s="41">
        <f t="shared" ref="AF19:AF25" si="11">AE19*$D19</f>
        <v>0</v>
      </c>
      <c r="AG19" s="13">
        <v>-15</v>
      </c>
      <c r="AH19" s="48">
        <f t="shared" si="4"/>
        <v>0</v>
      </c>
      <c r="AJ19" s="36" t="s">
        <v>10</v>
      </c>
      <c r="AK19" s="23" t="str">
        <f>IFERROR(AVERAGEIFS('Contract Comparison Tool'!$B$5:$B$124, 'Contract Comparison Tool'!$B$5:$B$124,"&gt;=600",'Contract Comparison Tool'!$B$5:$B$124, "&lt;650"), "625")</f>
        <v>625</v>
      </c>
      <c r="AL19" s="41">
        <f t="shared" ref="AL19:AL25" si="12">AK19*$D19</f>
        <v>0</v>
      </c>
      <c r="AM19" s="13">
        <v>-15</v>
      </c>
      <c r="AN19" s="49">
        <f t="shared" si="5"/>
        <v>0</v>
      </c>
    </row>
    <row r="20" spans="1:40" x14ac:dyDescent="0.35">
      <c r="A20" s="36" t="s">
        <v>11</v>
      </c>
      <c r="B20" s="40">
        <f>'Contract Comparison Tool'!K20</f>
        <v>1</v>
      </c>
      <c r="C20" s="20">
        <v>0</v>
      </c>
      <c r="D20" s="40">
        <f t="shared" si="6"/>
        <v>1</v>
      </c>
      <c r="F20" s="36" t="s">
        <v>11</v>
      </c>
      <c r="G20" s="74">
        <f>IFERROR(AVERAGEIFS('Contract Comparison Tool'!$B$5:$B$124, 'Contract Comparison Tool'!$B$5:$B$124,"&gt;=650",'Contract Comparison Tool'!$B$5:$B$124, "&lt;700"), "675")</f>
        <v>697</v>
      </c>
      <c r="H20" s="41">
        <f t="shared" si="7"/>
        <v>697</v>
      </c>
      <c r="I20" s="13">
        <v>-15</v>
      </c>
      <c r="J20" s="48">
        <f t="shared" si="0"/>
        <v>-104.55</v>
      </c>
      <c r="K20" s="6"/>
      <c r="L20" s="36" t="s">
        <v>11</v>
      </c>
      <c r="M20" s="74">
        <f>IFERROR(AVERAGEIFS('Contract Comparison Tool'!$B$5:$B$124, 'Contract Comparison Tool'!$B$5:$B$124,"&gt;=650",'Contract Comparison Tool'!$B$5:$B$124, "&lt;700"), "675")</f>
        <v>697</v>
      </c>
      <c r="N20" s="41">
        <f t="shared" si="8"/>
        <v>697</v>
      </c>
      <c r="O20" s="13">
        <v>-15</v>
      </c>
      <c r="P20" s="49">
        <f t="shared" si="1"/>
        <v>-104.55</v>
      </c>
      <c r="R20" s="36" t="s">
        <v>11</v>
      </c>
      <c r="S20" s="23">
        <f>IFERROR(AVERAGEIFS('Contract Comparison Tool'!$B$5:$B$124, 'Contract Comparison Tool'!$B$5:$B$124,"&gt;=650",'Contract Comparison Tool'!$B$5:$B$124, "&lt;700"), "675")</f>
        <v>697</v>
      </c>
      <c r="T20" s="41">
        <f t="shared" si="9"/>
        <v>697</v>
      </c>
      <c r="U20" s="13">
        <v>-5</v>
      </c>
      <c r="V20" s="48">
        <f t="shared" si="2"/>
        <v>-34.85</v>
      </c>
      <c r="X20" s="36" t="s">
        <v>11</v>
      </c>
      <c r="Y20" s="23">
        <f>IFERROR(AVERAGEIFS('Contract Comparison Tool'!$B$5:$B$124, 'Contract Comparison Tool'!$B$5:$B$124,"&gt;=650",'Contract Comparison Tool'!$B$5:$B$124, "&lt;700"), "675")</f>
        <v>697</v>
      </c>
      <c r="Z20" s="41">
        <f t="shared" si="10"/>
        <v>697</v>
      </c>
      <c r="AA20" s="13">
        <v>-5</v>
      </c>
      <c r="AB20" s="49">
        <f t="shared" si="3"/>
        <v>-34.85</v>
      </c>
      <c r="AD20" s="36" t="s">
        <v>11</v>
      </c>
      <c r="AE20" s="23">
        <f>IFERROR(AVERAGEIFS('Contract Comparison Tool'!$B$5:$B$124, 'Contract Comparison Tool'!$B$5:$B$124,"&gt;=650",'Contract Comparison Tool'!$B$5:$B$124, "&lt;700"), "675")</f>
        <v>697</v>
      </c>
      <c r="AF20" s="41">
        <f t="shared" si="11"/>
        <v>697</v>
      </c>
      <c r="AG20" s="13">
        <v>-5</v>
      </c>
      <c r="AH20" s="48">
        <f t="shared" si="4"/>
        <v>-34.85</v>
      </c>
      <c r="AJ20" s="36" t="s">
        <v>11</v>
      </c>
      <c r="AK20" s="23">
        <f>IFERROR(AVERAGEIFS('Contract Comparison Tool'!$B$5:$B$124, 'Contract Comparison Tool'!$B$5:$B$124,"&gt;=650",'Contract Comparison Tool'!$B$5:$B$124, "&lt;700"), "675")</f>
        <v>697</v>
      </c>
      <c r="AL20" s="41">
        <f t="shared" si="12"/>
        <v>697</v>
      </c>
      <c r="AM20" s="13">
        <v>0</v>
      </c>
      <c r="AN20" s="49">
        <f t="shared" si="5"/>
        <v>0</v>
      </c>
    </row>
    <row r="21" spans="1:40" x14ac:dyDescent="0.35">
      <c r="A21" s="36" t="s">
        <v>12</v>
      </c>
      <c r="B21" s="40">
        <f>'Contract Comparison Tool'!K21</f>
        <v>34</v>
      </c>
      <c r="C21" s="20">
        <v>0</v>
      </c>
      <c r="D21" s="40">
        <f t="shared" si="6"/>
        <v>34</v>
      </c>
      <c r="F21" s="36" t="s">
        <v>12</v>
      </c>
      <c r="G21" s="74">
        <f>IFERROR(AVERAGEIFS('Contract Comparison Tool'!$B$5:$B$124, 'Contract Comparison Tool'!$B$5:$B$124,"&gt;=700",'Contract Comparison Tool'!$B$5:$B$124, "&lt;1000"), "850")</f>
        <v>877.11764705882354</v>
      </c>
      <c r="H21" s="41">
        <f t="shared" si="7"/>
        <v>29822</v>
      </c>
      <c r="I21" s="13">
        <v>0</v>
      </c>
      <c r="J21" s="48">
        <f t="shared" si="0"/>
        <v>0</v>
      </c>
      <c r="K21" s="6"/>
      <c r="L21" s="36" t="s">
        <v>12</v>
      </c>
      <c r="M21" s="74">
        <f>IFERROR(AVERAGEIFS('Contract Comparison Tool'!$B$5:$B$124, 'Contract Comparison Tool'!$B$5:$B$124,"&gt;=700",'Contract Comparison Tool'!$B$5:$B$124, "&lt;1000"), "850")</f>
        <v>877.11764705882354</v>
      </c>
      <c r="N21" s="41">
        <f t="shared" si="8"/>
        <v>29822</v>
      </c>
      <c r="O21" s="13">
        <v>0</v>
      </c>
      <c r="P21" s="49">
        <f t="shared" si="1"/>
        <v>0</v>
      </c>
      <c r="Q21" s="33"/>
      <c r="R21" s="36" t="s">
        <v>12</v>
      </c>
      <c r="S21" s="23">
        <f>IFERROR(AVERAGEIFS('Contract Comparison Tool'!$B$5:$B$124, 'Contract Comparison Tool'!$B$5:$B$124,"&gt;=700",'Contract Comparison Tool'!$B$5:$B$124, "&lt;1000"), "850")</f>
        <v>877.11764705882354</v>
      </c>
      <c r="T21" s="41">
        <f t="shared" si="9"/>
        <v>29822</v>
      </c>
      <c r="U21" s="13">
        <v>0</v>
      </c>
      <c r="V21" s="48">
        <f t="shared" si="2"/>
        <v>0</v>
      </c>
      <c r="X21" s="36" t="s">
        <v>12</v>
      </c>
      <c r="Y21" s="23">
        <f>IFERROR(AVERAGEIFS('Contract Comparison Tool'!$B$5:$B$124, 'Contract Comparison Tool'!$B$5:$B$124,"&gt;=700",'Contract Comparison Tool'!$B$5:$B$124, "&lt;1000"), "850")</f>
        <v>877.11764705882354</v>
      </c>
      <c r="Z21" s="41">
        <f t="shared" si="10"/>
        <v>29822</v>
      </c>
      <c r="AA21" s="13">
        <v>0</v>
      </c>
      <c r="AB21" s="49">
        <f t="shared" si="3"/>
        <v>0</v>
      </c>
      <c r="AD21" s="36" t="s">
        <v>12</v>
      </c>
      <c r="AE21" s="23">
        <f>IFERROR(AVERAGEIFS('Contract Comparison Tool'!$B$5:$B$124, 'Contract Comparison Tool'!$B$5:$B$124,"&gt;=700",'Contract Comparison Tool'!$B$5:$B$124, "&lt;1000"), "850")</f>
        <v>877.11764705882354</v>
      </c>
      <c r="AF21" s="41">
        <f t="shared" si="11"/>
        <v>29822</v>
      </c>
      <c r="AG21" s="13">
        <v>0</v>
      </c>
      <c r="AH21" s="48">
        <f t="shared" si="4"/>
        <v>0</v>
      </c>
      <c r="AJ21" s="36" t="s">
        <v>12</v>
      </c>
      <c r="AK21" s="23">
        <f>IFERROR(AVERAGEIFS('Contract Comparison Tool'!$B$5:$B$124, 'Contract Comparison Tool'!$B$5:$B$124,"&gt;=700",'Contract Comparison Tool'!$B$5:$B$124, "&lt;1000"), "850")</f>
        <v>877.11764705882354</v>
      </c>
      <c r="AL21" s="41">
        <f t="shared" si="12"/>
        <v>29822</v>
      </c>
      <c r="AM21" s="13">
        <v>0</v>
      </c>
      <c r="AN21" s="49">
        <f t="shared" si="5"/>
        <v>0</v>
      </c>
    </row>
    <row r="22" spans="1:40" x14ac:dyDescent="0.35">
      <c r="A22" s="36" t="s">
        <v>13</v>
      </c>
      <c r="B22" s="40">
        <f>'Contract Comparison Tool'!K22</f>
        <v>0</v>
      </c>
      <c r="C22" s="20">
        <v>0</v>
      </c>
      <c r="D22" s="40">
        <f t="shared" si="6"/>
        <v>0</v>
      </c>
      <c r="F22" s="36" t="s">
        <v>13</v>
      </c>
      <c r="G22" s="74" t="str">
        <f>IFERROR(AVERAGEIFS('Contract Comparison Tool'!$B$5:$B$124, 'Contract Comparison Tool'!$B$5:$B$124,"&gt;=1000",'Contract Comparison Tool'!$B$5:$B$124, "&lt;1050"), "1025")</f>
        <v>1025</v>
      </c>
      <c r="H22" s="41">
        <f t="shared" si="7"/>
        <v>0</v>
      </c>
      <c r="I22" s="13">
        <v>0</v>
      </c>
      <c r="J22" s="48">
        <f t="shared" si="0"/>
        <v>0</v>
      </c>
      <c r="K22" s="6"/>
      <c r="L22" s="36" t="s">
        <v>13</v>
      </c>
      <c r="M22" s="74" t="str">
        <f>IFERROR(AVERAGEIFS('Contract Comparison Tool'!$B$5:$B$124, 'Contract Comparison Tool'!$B$5:$B$124,"&gt;=1000",'Contract Comparison Tool'!$B$5:$B$124, "&lt;1050"), "1025")</f>
        <v>1025</v>
      </c>
      <c r="N22" s="41">
        <f t="shared" si="8"/>
        <v>0</v>
      </c>
      <c r="O22" s="13">
        <v>0</v>
      </c>
      <c r="P22" s="47">
        <f t="shared" si="1"/>
        <v>0</v>
      </c>
      <c r="R22" s="36" t="s">
        <v>13</v>
      </c>
      <c r="S22" s="23" t="str">
        <f>IFERROR(AVERAGEIFS('Contract Comparison Tool'!$B$5:$B$124, 'Contract Comparison Tool'!$B$5:$B$124,"&gt;=1000",'Contract Comparison Tool'!$B$5:$B$124, "&lt;1050"), "1025")</f>
        <v>1025</v>
      </c>
      <c r="T22" s="41">
        <f t="shared" si="9"/>
        <v>0</v>
      </c>
      <c r="U22" s="13">
        <v>0</v>
      </c>
      <c r="V22" s="48">
        <f t="shared" si="2"/>
        <v>0</v>
      </c>
      <c r="X22" s="36" t="s">
        <v>13</v>
      </c>
      <c r="Y22" s="23" t="str">
        <f>IFERROR(AVERAGEIFS('Contract Comparison Tool'!$B$5:$B$124, 'Contract Comparison Tool'!$B$5:$B$124,"&gt;=1000",'Contract Comparison Tool'!$B$5:$B$124, "&lt;1050"), "1025")</f>
        <v>1025</v>
      </c>
      <c r="Z22" s="41">
        <f t="shared" si="10"/>
        <v>0</v>
      </c>
      <c r="AA22" s="13">
        <v>0</v>
      </c>
      <c r="AB22" s="47">
        <f t="shared" si="3"/>
        <v>0</v>
      </c>
      <c r="AD22" s="36" t="s">
        <v>13</v>
      </c>
      <c r="AE22" s="23" t="str">
        <f>IFERROR(AVERAGEIFS('Contract Comparison Tool'!$B$5:$B$124, 'Contract Comparison Tool'!$B$5:$B$124,"&gt;=1000",'Contract Comparison Tool'!$B$5:$B$124, "&lt;1050"), "1025")</f>
        <v>1025</v>
      </c>
      <c r="AF22" s="41">
        <f t="shared" si="11"/>
        <v>0</v>
      </c>
      <c r="AG22" s="13">
        <v>0</v>
      </c>
      <c r="AH22" s="48">
        <f t="shared" si="4"/>
        <v>0</v>
      </c>
      <c r="AJ22" s="36" t="s">
        <v>13</v>
      </c>
      <c r="AK22" s="23" t="str">
        <f>IFERROR(AVERAGEIFS('Contract Comparison Tool'!$B$5:$B$124, 'Contract Comparison Tool'!$B$5:$B$124,"&gt;=1000",'Contract Comparison Tool'!$B$5:$B$124, "&lt;1050"), "1025")</f>
        <v>1025</v>
      </c>
      <c r="AL22" s="41">
        <f t="shared" si="12"/>
        <v>0</v>
      </c>
      <c r="AM22" s="13">
        <v>0</v>
      </c>
      <c r="AN22" s="47">
        <f t="shared" si="5"/>
        <v>0</v>
      </c>
    </row>
    <row r="23" spans="1:40" x14ac:dyDescent="0.35">
      <c r="A23" s="36" t="s">
        <v>14</v>
      </c>
      <c r="B23" s="40">
        <f>'Contract Comparison Tool'!K23</f>
        <v>0</v>
      </c>
      <c r="C23" s="20">
        <v>0</v>
      </c>
      <c r="D23" s="40">
        <f t="shared" si="6"/>
        <v>0</v>
      </c>
      <c r="F23" s="45" t="s">
        <v>14</v>
      </c>
      <c r="G23" s="74" t="str">
        <f>IFERROR(AVERAGEIFS('Contract Comparison Tool'!$B$5:$B$124, 'Contract Comparison Tool'!$B$5:$B$124,"&gt;=1050",'Contract Comparison Tool'!$B$5:$B$124, "&lt;1100"), "1075")</f>
        <v>1075</v>
      </c>
      <c r="H23" s="41">
        <f t="shared" si="7"/>
        <v>0</v>
      </c>
      <c r="I23" s="13">
        <v>0</v>
      </c>
      <c r="J23" s="48">
        <f t="shared" si="0"/>
        <v>0</v>
      </c>
      <c r="K23" s="6"/>
      <c r="L23" s="45" t="s">
        <v>14</v>
      </c>
      <c r="M23" s="74" t="str">
        <f>IFERROR(AVERAGEIFS('Contract Comparison Tool'!$B$5:$B$124, 'Contract Comparison Tool'!$B$5:$B$124,"&gt;=1050",'Contract Comparison Tool'!$B$5:$B$124, "&lt;1100"), "1075")</f>
        <v>1075</v>
      </c>
      <c r="N23" s="41">
        <f t="shared" si="8"/>
        <v>0</v>
      </c>
      <c r="O23" s="13">
        <v>0</v>
      </c>
      <c r="P23" s="47">
        <f t="shared" si="1"/>
        <v>0</v>
      </c>
      <c r="R23" s="45" t="s">
        <v>14</v>
      </c>
      <c r="S23" s="23" t="str">
        <f>IFERROR(AVERAGEIFS('Contract Comparison Tool'!$B$5:$B$124, 'Contract Comparison Tool'!$B$5:$B$124,"&gt;=1050",'Contract Comparison Tool'!$B$5:$B$124, "&lt;1100"), "1075")</f>
        <v>1075</v>
      </c>
      <c r="T23" s="41">
        <f t="shared" si="9"/>
        <v>0</v>
      </c>
      <c r="U23" s="13">
        <v>0</v>
      </c>
      <c r="V23" s="48">
        <f t="shared" si="2"/>
        <v>0</v>
      </c>
      <c r="X23" s="45" t="s">
        <v>14</v>
      </c>
      <c r="Y23" s="23" t="str">
        <f>IFERROR(AVERAGEIFS('Contract Comparison Tool'!$B$5:$B$124, 'Contract Comparison Tool'!$B$5:$B$124,"&gt;=1050",'Contract Comparison Tool'!$B$5:$B$124, "&lt;1100"), "1075")</f>
        <v>1075</v>
      </c>
      <c r="Z23" s="41">
        <f t="shared" si="10"/>
        <v>0</v>
      </c>
      <c r="AA23" s="13">
        <v>0</v>
      </c>
      <c r="AB23" s="47">
        <f t="shared" si="3"/>
        <v>0</v>
      </c>
      <c r="AD23" s="45" t="s">
        <v>14</v>
      </c>
      <c r="AE23" s="23" t="str">
        <f>IFERROR(AVERAGEIFS('Contract Comparison Tool'!$B$5:$B$124, 'Contract Comparison Tool'!$B$5:$B$124,"&gt;=1050",'Contract Comparison Tool'!$B$5:$B$124, "&lt;1100"), "1075")</f>
        <v>1075</v>
      </c>
      <c r="AF23" s="41">
        <f t="shared" si="11"/>
        <v>0</v>
      </c>
      <c r="AG23" s="13">
        <v>0</v>
      </c>
      <c r="AH23" s="48">
        <f t="shared" si="4"/>
        <v>0</v>
      </c>
      <c r="AJ23" s="45" t="s">
        <v>14</v>
      </c>
      <c r="AK23" s="23" t="str">
        <f>IFERROR(AVERAGEIFS('Contract Comparison Tool'!$B$5:$B$124, 'Contract Comparison Tool'!$B$5:$B$124,"&gt;=1050",'Contract Comparison Tool'!$B$5:$B$124, "&lt;1100"), "1075")</f>
        <v>1075</v>
      </c>
      <c r="AL23" s="41">
        <f t="shared" si="12"/>
        <v>0</v>
      </c>
      <c r="AM23" s="13">
        <v>0</v>
      </c>
      <c r="AN23" s="47">
        <f t="shared" si="5"/>
        <v>0</v>
      </c>
    </row>
    <row r="24" spans="1:40" x14ac:dyDescent="0.35">
      <c r="A24" s="36" t="s">
        <v>15</v>
      </c>
      <c r="B24" s="40">
        <f>'Contract Comparison Tool'!K24</f>
        <v>0</v>
      </c>
      <c r="C24" s="20">
        <v>0</v>
      </c>
      <c r="D24" s="40">
        <f t="shared" si="6"/>
        <v>0</v>
      </c>
      <c r="F24" s="36" t="s">
        <v>15</v>
      </c>
      <c r="G24" s="75" t="str">
        <f>IFERROR(AVERAGEIFS('Contract Comparison Tool'!$B$5:$B$124,'Contract Comparison Tool'!$B$5:$B$124,"&gt;=1100",'Contract Comparison Tool'!$B$5:$B$124,"&lt;1200"),"1150")</f>
        <v>1150</v>
      </c>
      <c r="H24" s="41">
        <f t="shared" si="7"/>
        <v>0</v>
      </c>
      <c r="I24" s="15">
        <v>-15</v>
      </c>
      <c r="J24" s="76">
        <f t="shared" si="0"/>
        <v>0</v>
      </c>
      <c r="K24" s="6"/>
      <c r="L24" s="36" t="s">
        <v>15</v>
      </c>
      <c r="M24" s="75" t="str">
        <f>IFERROR(AVERAGEIFS('Contract Comparison Tool'!$B$5:$B$124,'Contract Comparison Tool'!$B$5:$B$124,"&gt;=1100",'Contract Comparison Tool'!$B$5:$B$124,"&lt;1200"),"1150")</f>
        <v>1150</v>
      </c>
      <c r="N24" s="41">
        <f t="shared" si="8"/>
        <v>0</v>
      </c>
      <c r="O24" s="15">
        <v>-15</v>
      </c>
      <c r="P24" s="47">
        <f t="shared" ref="P24:P25" si="13">(N24*O24/100)</f>
        <v>0</v>
      </c>
      <c r="R24" s="36" t="s">
        <v>15</v>
      </c>
      <c r="S24" s="25" t="str">
        <f>IFERROR(AVERAGEIFS('Contract Comparison Tool'!$B$5:$B$124,'Contract Comparison Tool'!$B$5:$B$124,"&gt;=1100",'Contract Comparison Tool'!$B$5:$B$124,"&lt;1200"),"1150")</f>
        <v>1150</v>
      </c>
      <c r="T24" s="41">
        <f t="shared" si="9"/>
        <v>0</v>
      </c>
      <c r="U24" s="15">
        <v>-15</v>
      </c>
      <c r="V24" s="76">
        <f t="shared" si="2"/>
        <v>0</v>
      </c>
      <c r="X24" s="36" t="s">
        <v>15</v>
      </c>
      <c r="Y24" s="25" t="str">
        <f>IFERROR(AVERAGEIFS('Contract Comparison Tool'!$B$5:$B$124,'Contract Comparison Tool'!$B$5:$B$124,"&gt;=1100",'Contract Comparison Tool'!$B$5:$B$124,"&lt;1200"),"1150")</f>
        <v>1150</v>
      </c>
      <c r="Z24" s="41">
        <f t="shared" si="10"/>
        <v>0</v>
      </c>
      <c r="AA24" s="15">
        <v>-15</v>
      </c>
      <c r="AB24" s="47">
        <f t="shared" si="3"/>
        <v>0</v>
      </c>
      <c r="AD24" s="36" t="s">
        <v>15</v>
      </c>
      <c r="AE24" s="25" t="str">
        <f>IFERROR(AVERAGEIFS('Contract Comparison Tool'!$B$5:$B$124,'Contract Comparison Tool'!$B$5:$B$124,"&gt;=1100",'Contract Comparison Tool'!$B$5:$B$124,"&lt;1200"),"1150")</f>
        <v>1150</v>
      </c>
      <c r="AF24" s="41">
        <f t="shared" si="11"/>
        <v>0</v>
      </c>
      <c r="AG24" s="15">
        <v>-15</v>
      </c>
      <c r="AH24" s="76">
        <f t="shared" si="4"/>
        <v>0</v>
      </c>
      <c r="AJ24" s="36" t="s">
        <v>15</v>
      </c>
      <c r="AK24" s="25" t="str">
        <f>IFERROR(AVERAGEIFS('Contract Comparison Tool'!$B$5:$B$124,'Contract Comparison Tool'!$B$5:$B$124,"&gt;=1100",'Contract Comparison Tool'!$B$5:$B$124,"&lt;1200"),"1150")</f>
        <v>1150</v>
      </c>
      <c r="AL24" s="41">
        <f t="shared" si="12"/>
        <v>0</v>
      </c>
      <c r="AM24" s="15">
        <v>-15</v>
      </c>
      <c r="AN24" s="47">
        <f t="shared" si="5"/>
        <v>0</v>
      </c>
    </row>
    <row r="25" spans="1:40" ht="14.5" customHeight="1" x14ac:dyDescent="0.35">
      <c r="A25" s="36" t="s">
        <v>19</v>
      </c>
      <c r="B25" s="40">
        <f>'Contract Comparison Tool'!K25</f>
        <v>0</v>
      </c>
      <c r="C25" s="20">
        <v>0</v>
      </c>
      <c r="D25" s="40">
        <f t="shared" si="6"/>
        <v>0</v>
      </c>
      <c r="F25" s="36" t="s">
        <v>19</v>
      </c>
      <c r="G25" s="74" t="str">
        <f>IFERROR(AVERAGEIF('Contract Comparison Tool'!$B$5:$B$124,"&gt;=1200", 'Contract Comparison Tool'!$B$5:$B$124), "1210")</f>
        <v>1210</v>
      </c>
      <c r="H25" s="41">
        <f t="shared" si="7"/>
        <v>0</v>
      </c>
      <c r="I25" s="13">
        <v>-15</v>
      </c>
      <c r="J25" s="48">
        <f t="shared" si="0"/>
        <v>0</v>
      </c>
      <c r="K25" s="6"/>
      <c r="L25" s="36" t="s">
        <v>19</v>
      </c>
      <c r="M25" s="74" t="str">
        <f>IFERROR(AVERAGEIF('Contract Comparison Tool'!$B$5:$B$124,"&gt;=1200", 'Contract Comparison Tool'!$B$5:$B$124), "1210")</f>
        <v>1210</v>
      </c>
      <c r="N25" s="41">
        <f t="shared" si="8"/>
        <v>0</v>
      </c>
      <c r="O25" s="13">
        <v>-15</v>
      </c>
      <c r="P25" s="42">
        <f t="shared" si="13"/>
        <v>0</v>
      </c>
      <c r="Q25" s="38"/>
      <c r="R25" s="36" t="s">
        <v>19</v>
      </c>
      <c r="S25" s="23" t="str">
        <f>IFERROR(AVERAGEIF('Contract Comparison Tool'!$B$5:$B$124,"&gt;=1200", 'Contract Comparison Tool'!$B$5:$B$124), "1210")</f>
        <v>1210</v>
      </c>
      <c r="T25" s="41">
        <f t="shared" si="9"/>
        <v>0</v>
      </c>
      <c r="U25" s="13">
        <v>-20</v>
      </c>
      <c r="V25" s="48">
        <f t="shared" si="2"/>
        <v>0</v>
      </c>
      <c r="X25" s="36" t="s">
        <v>19</v>
      </c>
      <c r="Y25" s="23" t="str">
        <f>IFERROR(AVERAGEIF('Contract Comparison Tool'!$B$5:$B$124,"&gt;=1200", 'Contract Comparison Tool'!$B$5:$B$124), "1210")</f>
        <v>1210</v>
      </c>
      <c r="Z25" s="41">
        <f t="shared" si="10"/>
        <v>0</v>
      </c>
      <c r="AA25" s="13">
        <v>-20</v>
      </c>
      <c r="AB25" s="42">
        <f t="shared" si="3"/>
        <v>0</v>
      </c>
      <c r="AD25" s="36" t="s">
        <v>19</v>
      </c>
      <c r="AE25" s="23" t="str">
        <f>IFERROR(AVERAGEIF('Contract Comparison Tool'!$B$5:$B$124,"&gt;=1200", 'Contract Comparison Tool'!$B$5:$B$124), "1210")</f>
        <v>1210</v>
      </c>
      <c r="AF25" s="41">
        <f t="shared" si="11"/>
        <v>0</v>
      </c>
      <c r="AG25" s="13">
        <v>-20</v>
      </c>
      <c r="AH25" s="48">
        <f t="shared" si="4"/>
        <v>0</v>
      </c>
      <c r="AJ25" s="36" t="s">
        <v>19</v>
      </c>
      <c r="AK25" s="23" t="str">
        <f>IFERROR(AVERAGEIF('Contract Comparison Tool'!$B$5:$B$124,"&gt;=1200", 'Contract Comparison Tool'!$B$5:$B$124), "1210")</f>
        <v>1210</v>
      </c>
      <c r="AL25" s="41">
        <f t="shared" si="12"/>
        <v>0</v>
      </c>
      <c r="AM25" s="13">
        <v>-15</v>
      </c>
      <c r="AN25" s="42">
        <f t="shared" si="5"/>
        <v>0</v>
      </c>
    </row>
    <row r="26" spans="1:40" ht="15.5" customHeight="1" x14ac:dyDescent="0.35">
      <c r="A26" s="84" t="s">
        <v>1</v>
      </c>
      <c r="B26" s="84" t="s">
        <v>54</v>
      </c>
      <c r="C26" s="98" t="s">
        <v>49</v>
      </c>
      <c r="D26" s="98" t="s">
        <v>55</v>
      </c>
      <c r="E26" s="38"/>
      <c r="F26" s="114" t="s">
        <v>1</v>
      </c>
      <c r="G26" s="99" t="s">
        <v>64</v>
      </c>
      <c r="H26" s="82" t="s">
        <v>36</v>
      </c>
      <c r="I26" s="115" t="s">
        <v>34</v>
      </c>
      <c r="J26" s="116" t="s">
        <v>35</v>
      </c>
      <c r="K26" s="38"/>
      <c r="L26" s="114" t="s">
        <v>1</v>
      </c>
      <c r="M26" s="99" t="s">
        <v>64</v>
      </c>
      <c r="N26" s="82" t="s">
        <v>36</v>
      </c>
      <c r="O26" s="115" t="s">
        <v>34</v>
      </c>
      <c r="P26" s="116" t="s">
        <v>35</v>
      </c>
      <c r="Q26" s="38"/>
      <c r="R26" s="99" t="s">
        <v>1</v>
      </c>
      <c r="S26" s="99" t="s">
        <v>64</v>
      </c>
      <c r="T26" s="83" t="s">
        <v>36</v>
      </c>
      <c r="U26" s="90" t="s">
        <v>34</v>
      </c>
      <c r="V26" s="82" t="s">
        <v>35</v>
      </c>
      <c r="W26" s="38"/>
      <c r="X26" s="99" t="s">
        <v>1</v>
      </c>
      <c r="Y26" s="99" t="s">
        <v>64</v>
      </c>
      <c r="Z26" s="83" t="s">
        <v>36</v>
      </c>
      <c r="AA26" s="90" t="s">
        <v>34</v>
      </c>
      <c r="AB26" s="82" t="s">
        <v>35</v>
      </c>
      <c r="AD26" s="99" t="s">
        <v>1</v>
      </c>
      <c r="AE26" s="99" t="s">
        <v>64</v>
      </c>
      <c r="AF26" s="83" t="s">
        <v>36</v>
      </c>
      <c r="AG26" s="90" t="s">
        <v>34</v>
      </c>
      <c r="AH26" s="82" t="s">
        <v>35</v>
      </c>
      <c r="AI26" s="38"/>
      <c r="AJ26" s="114" t="s">
        <v>1</v>
      </c>
      <c r="AK26" s="99" t="s">
        <v>64</v>
      </c>
      <c r="AL26" s="82" t="s">
        <v>36</v>
      </c>
      <c r="AM26" s="115" t="s">
        <v>34</v>
      </c>
      <c r="AN26" s="116" t="s">
        <v>35</v>
      </c>
    </row>
    <row r="27" spans="1:40" ht="15.5" customHeight="1" x14ac:dyDescent="0.35">
      <c r="A27" s="84"/>
      <c r="B27" s="84"/>
      <c r="C27" s="98"/>
      <c r="D27" s="98"/>
      <c r="F27" s="100"/>
      <c r="G27" s="100"/>
      <c r="H27" s="83"/>
      <c r="I27" s="91"/>
      <c r="J27" s="83"/>
      <c r="K27" s="38"/>
      <c r="L27" s="100"/>
      <c r="M27" s="100"/>
      <c r="N27" s="83"/>
      <c r="O27" s="91"/>
      <c r="P27" s="83"/>
      <c r="Q27" s="33"/>
      <c r="R27" s="100"/>
      <c r="S27" s="100"/>
      <c r="T27" s="84"/>
      <c r="U27" s="91"/>
      <c r="V27" s="83"/>
      <c r="W27" s="38"/>
      <c r="X27" s="100"/>
      <c r="Y27" s="100"/>
      <c r="Z27" s="84"/>
      <c r="AA27" s="91"/>
      <c r="AB27" s="83"/>
      <c r="AD27" s="100"/>
      <c r="AE27" s="100"/>
      <c r="AF27" s="84"/>
      <c r="AG27" s="91"/>
      <c r="AH27" s="83"/>
      <c r="AI27" s="38"/>
      <c r="AJ27" s="100"/>
      <c r="AK27" s="100"/>
      <c r="AL27" s="83"/>
      <c r="AM27" s="91"/>
      <c r="AN27" s="83"/>
    </row>
    <row r="28" spans="1:40" x14ac:dyDescent="0.35">
      <c r="A28" s="36" t="s">
        <v>4</v>
      </c>
      <c r="B28" s="40">
        <f>'Contract Comparison Tool'!K28</f>
        <v>1</v>
      </c>
      <c r="C28" s="20">
        <v>0</v>
      </c>
      <c r="D28" s="40">
        <f t="shared" ref="D28:D34" si="14">B28+C28</f>
        <v>1</v>
      </c>
      <c r="F28" s="94" t="s">
        <v>40</v>
      </c>
      <c r="G28" s="123">
        <f>IFERROR(AVERAGEIFS('Contract Comparison Tool'!$B$5:$B$124,'Contract Comparison Tool'!$C$5:$C$124, "*i*"), $B$13)</f>
        <v>895.53846153846155</v>
      </c>
      <c r="H28" s="119">
        <f>G28*($D28+$D29)</f>
        <v>23284</v>
      </c>
      <c r="I28" s="104">
        <f>$B$5</f>
        <v>35.31</v>
      </c>
      <c r="J28" s="103">
        <f>((((((((D28+D29)/(B8-B9))*100)-70)/100)*(B8-B9))*G28)*I28/100)</f>
        <v>474.32194615384685</v>
      </c>
      <c r="K28" s="6"/>
      <c r="L28" s="94" t="s">
        <v>80</v>
      </c>
      <c r="M28" s="117">
        <f>IFERROR(AVERAGEIFS('Contract Comparison Tool'!$B$5:$B$124,'Contract Comparison Tool'!$C$5:$C$124, "*i*"), $B$13)</f>
        <v>895.53846153846155</v>
      </c>
      <c r="N28" s="119">
        <f>M28*($D28+$D29)</f>
        <v>23284</v>
      </c>
      <c r="O28" s="104">
        <f>B5</f>
        <v>35.31</v>
      </c>
      <c r="P28" s="103">
        <f>((((((((D28+D29)/(B8-B9))*100)-80)/100)*(B8-B9))*M28)*O28/100)</f>
        <v>-632.42926153846088</v>
      </c>
      <c r="R28" s="36" t="s">
        <v>4</v>
      </c>
      <c r="S28" s="24">
        <f>IFERROR(AVERAGEIF('Contract Comparison Tool'!$C$5:$C$124,"Prime",'Contract Comparison Tool'!$B$5:$B$124), $B$13)</f>
        <v>841</v>
      </c>
      <c r="T28" s="41">
        <f>S28*$D28</f>
        <v>841</v>
      </c>
      <c r="U28" s="16">
        <v>10</v>
      </c>
      <c r="V28" s="78">
        <f t="shared" ref="V28:V34" si="15">T28*U28/100</f>
        <v>84.1</v>
      </c>
      <c r="X28" s="36" t="s">
        <v>4</v>
      </c>
      <c r="Y28" s="24">
        <f>IFERROR(AVERAGEIF('Contract Comparison Tool'!$C$5:$C$124,"Prime",'Contract Comparison Tool'!$B$5:$B$124), $B$13)</f>
        <v>841</v>
      </c>
      <c r="Z28" s="41">
        <f>Y28*$D28</f>
        <v>841</v>
      </c>
      <c r="AA28" s="16">
        <f>B3</f>
        <v>16.82</v>
      </c>
      <c r="AB28" s="78">
        <f t="shared" ref="AB28:AB34" si="16">Z28*AA28/100</f>
        <v>141.4562</v>
      </c>
      <c r="AD28" s="36" t="s">
        <v>4</v>
      </c>
      <c r="AE28" s="24">
        <f>IFERROR(AVERAGEIF('Contract Comparison Tool'!$C$5:$C$124,"Prime",'Contract Comparison Tool'!$B$5:$B$124), $B$13)</f>
        <v>841</v>
      </c>
      <c r="AF28" s="41">
        <f>AE28*$D28</f>
        <v>841</v>
      </c>
      <c r="AG28" s="16">
        <f>B3</f>
        <v>16.82</v>
      </c>
      <c r="AH28" s="78">
        <f t="shared" ref="AH28:AH34" si="17">AF28*AG28/100</f>
        <v>141.4562</v>
      </c>
      <c r="AJ28" s="94" t="s">
        <v>80</v>
      </c>
      <c r="AK28" s="123">
        <f>IFERROR(AVERAGEIFS('Contract Comparison Tool'!$B$5:$B$124,'Contract Comparison Tool'!$C$5:$C$124, "*i*"), $B$13)</f>
        <v>895.53846153846155</v>
      </c>
      <c r="AL28" s="119">
        <f>AK28*($D28+$D29)</f>
        <v>23284</v>
      </c>
      <c r="AM28" s="104">
        <f>$B$5</f>
        <v>35.31</v>
      </c>
      <c r="AN28" s="103">
        <f>((((((((D28+D29)/(B8-B9))*100)-80)/100)*(B8-B9))*AK28)*AM28/100)</f>
        <v>-632.42926153846088</v>
      </c>
    </row>
    <row r="29" spans="1:40" x14ac:dyDescent="0.35">
      <c r="A29" s="36" t="s">
        <v>5</v>
      </c>
      <c r="B29" s="40">
        <f>'Contract Comparison Tool'!K29</f>
        <v>25</v>
      </c>
      <c r="C29" s="20">
        <v>0</v>
      </c>
      <c r="D29" s="40">
        <f t="shared" si="14"/>
        <v>25</v>
      </c>
      <c r="F29" s="94"/>
      <c r="G29" s="124"/>
      <c r="H29" s="119" t="e">
        <f>G29*#REF!</f>
        <v>#REF!</v>
      </c>
      <c r="I29" s="104"/>
      <c r="J29" s="103"/>
      <c r="K29" s="6"/>
      <c r="L29" s="94"/>
      <c r="M29" s="118"/>
      <c r="N29" s="119">
        <f>M29*D29</f>
        <v>0</v>
      </c>
      <c r="O29" s="104"/>
      <c r="P29" s="103"/>
      <c r="R29" s="36" t="s">
        <v>5</v>
      </c>
      <c r="S29" s="24">
        <f>IFERROR(AVERAGEIF('Contract Comparison Tool'!$C$5:$C$124,"Choice",'Contract Comparison Tool'!$B$5:$B$124), $B$13)</f>
        <v>897.72</v>
      </c>
      <c r="T29" s="41">
        <f t="shared" ref="T29:T34" si="18">S29*$D29</f>
        <v>22443</v>
      </c>
      <c r="U29" s="13">
        <v>0</v>
      </c>
      <c r="V29" s="78">
        <f t="shared" si="15"/>
        <v>0</v>
      </c>
      <c r="X29" s="36" t="s">
        <v>5</v>
      </c>
      <c r="Y29" s="24">
        <f>IFERROR(AVERAGEIF('Contract Comparison Tool'!$C$5:$C$124,"Choice",'Contract Comparison Tool'!$B$5:$B$124), $B$13)</f>
        <v>897.72</v>
      </c>
      <c r="Z29" s="41">
        <f t="shared" ref="Z29:Z34" si="19">Y29*$D29</f>
        <v>22443</v>
      </c>
      <c r="AA29" s="13">
        <v>0</v>
      </c>
      <c r="AB29" s="78">
        <f t="shared" si="16"/>
        <v>0</v>
      </c>
      <c r="AD29" s="36" t="s">
        <v>5</v>
      </c>
      <c r="AE29" s="24">
        <f>IFERROR(AVERAGEIF('Contract Comparison Tool'!$C$5:$C$124,"Choice",'Contract Comparison Tool'!$B$5:$B$124), $B$13)</f>
        <v>897.72</v>
      </c>
      <c r="AF29" s="41">
        <f t="shared" ref="AF29:AF34" si="20">AE29*$D29</f>
        <v>22443</v>
      </c>
      <c r="AG29" s="13">
        <v>0</v>
      </c>
      <c r="AH29" s="78">
        <f t="shared" si="17"/>
        <v>0</v>
      </c>
      <c r="AJ29" s="94"/>
      <c r="AK29" s="124"/>
      <c r="AL29" s="119">
        <f>AK29*AB29</f>
        <v>0</v>
      </c>
      <c r="AM29" s="104"/>
      <c r="AN29" s="103"/>
    </row>
    <row r="30" spans="1:40" x14ac:dyDescent="0.35">
      <c r="A30" s="36" t="s">
        <v>6</v>
      </c>
      <c r="B30" s="40">
        <f>'Contract Comparison Tool'!K30</f>
        <v>9</v>
      </c>
      <c r="C30" s="20">
        <v>0</v>
      </c>
      <c r="D30" s="40">
        <f t="shared" si="14"/>
        <v>9</v>
      </c>
      <c r="F30" s="120"/>
      <c r="G30" s="121"/>
      <c r="H30" s="121"/>
      <c r="I30" s="121"/>
      <c r="J30" s="122"/>
      <c r="K30" s="6"/>
      <c r="L30" s="120"/>
      <c r="M30" s="121"/>
      <c r="N30" s="121"/>
      <c r="O30" s="121"/>
      <c r="P30" s="122"/>
      <c r="R30" s="36" t="s">
        <v>6</v>
      </c>
      <c r="S30" s="24">
        <f>IFERROR(AVERAGEIF('Contract Comparison Tool'!$C$5:$C$124,"Select",'Contract Comparison Tool'!$B$5:$B$124), $B$13)</f>
        <v>803.88888888888891</v>
      </c>
      <c r="T30" s="41">
        <f t="shared" si="18"/>
        <v>7235</v>
      </c>
      <c r="U30" s="13">
        <f>-($B$5+4)</f>
        <v>-39.31</v>
      </c>
      <c r="V30" s="78">
        <f t="shared" si="15"/>
        <v>-2844.0785000000005</v>
      </c>
      <c r="X30" s="36" t="s">
        <v>6</v>
      </c>
      <c r="Y30" s="24">
        <f>IFERROR(AVERAGEIF('Contract Comparison Tool'!$C$5:$C$124,"Select",'Contract Comparison Tool'!$B$5:$B$124), $B$13)</f>
        <v>803.88888888888891</v>
      </c>
      <c r="Z30" s="41">
        <f t="shared" si="19"/>
        <v>7235</v>
      </c>
      <c r="AA30" s="13">
        <f>-(B5)</f>
        <v>-35.31</v>
      </c>
      <c r="AB30" s="78">
        <f t="shared" si="16"/>
        <v>-2554.6785</v>
      </c>
      <c r="AD30" s="36" t="s">
        <v>6</v>
      </c>
      <c r="AE30" s="24">
        <f>IFERROR(AVERAGEIF('Contract Comparison Tool'!$C$5:$C$124,"Select",'Contract Comparison Tool'!$B$5:$B$124), $B$13)</f>
        <v>803.88888888888891</v>
      </c>
      <c r="AF30" s="41">
        <f t="shared" si="20"/>
        <v>7235</v>
      </c>
      <c r="AG30" s="13">
        <f>-(B5)</f>
        <v>-35.31</v>
      </c>
      <c r="AH30" s="78">
        <f t="shared" si="17"/>
        <v>-2554.6785</v>
      </c>
      <c r="AJ30" s="120"/>
      <c r="AK30" s="121"/>
      <c r="AL30" s="121"/>
      <c r="AM30" s="121"/>
      <c r="AN30" s="122"/>
    </row>
    <row r="31" spans="1:40" x14ac:dyDescent="0.35">
      <c r="A31" s="36" t="s">
        <v>7</v>
      </c>
      <c r="B31" s="40">
        <f>'Contract Comparison Tool'!K31</f>
        <v>0</v>
      </c>
      <c r="C31" s="20">
        <v>0</v>
      </c>
      <c r="D31" s="40">
        <f t="shared" si="14"/>
        <v>0</v>
      </c>
      <c r="F31" s="36" t="s">
        <v>7</v>
      </c>
      <c r="G31" s="24">
        <f>IFERROR(AVERAGEIF('Contract Comparison Tool'!$C$5:$C$124,"Standard",'Contract Comparison Tool'!$B$5:$B$124), $B$13)</f>
        <v>871.97142857142853</v>
      </c>
      <c r="H31" s="41">
        <f>G31*$D31</f>
        <v>0</v>
      </c>
      <c r="I31" s="26">
        <f>-(G12-G14)</f>
        <v>-3.2786885245901658</v>
      </c>
      <c r="J31" s="78">
        <f t="shared" ref="J31" si="21">H31*I31/100</f>
        <v>0</v>
      </c>
      <c r="K31" s="6"/>
      <c r="L31" s="36" t="s">
        <v>7</v>
      </c>
      <c r="M31" s="77">
        <f>IFERROR(AVERAGEIF('Contract Comparison Tool'!$C$5:$C$124,"Standard",'Contract Comparison Tool'!$B$5:$B$124), $B$13)</f>
        <v>871.97142857142853</v>
      </c>
      <c r="N31" s="41">
        <f>M31*$D31</f>
        <v>0</v>
      </c>
      <c r="O31" s="26">
        <f>-(M12-M14)</f>
        <v>-3.2786885245901658</v>
      </c>
      <c r="P31" s="78">
        <f t="shared" ref="P31" si="22">N31*O31/100</f>
        <v>0</v>
      </c>
      <c r="R31" s="36" t="s">
        <v>7</v>
      </c>
      <c r="S31" s="24">
        <f>IFERROR(AVERAGEIF('Contract Comparison Tool'!$C$5:$C$124,"Standard",'Contract Comparison Tool'!$B$5:$B$124), $B$13)</f>
        <v>871.97142857142853</v>
      </c>
      <c r="T31" s="41">
        <f>S31*$D31</f>
        <v>0</v>
      </c>
      <c r="U31" s="13">
        <v>-35</v>
      </c>
      <c r="V31" s="78">
        <f t="shared" si="15"/>
        <v>0</v>
      </c>
      <c r="X31" s="36" t="s">
        <v>7</v>
      </c>
      <c r="Y31" s="24">
        <f>IFERROR(AVERAGEIF('Contract Comparison Tool'!$C$5:$C$124,"Standard",'Contract Comparison Tool'!$B$5:$B$124), $B$13)</f>
        <v>871.97142857142853</v>
      </c>
      <c r="Z31" s="41">
        <f>Y31*$D31</f>
        <v>0</v>
      </c>
      <c r="AA31" s="13">
        <v>-35</v>
      </c>
      <c r="AB31" s="78">
        <f t="shared" si="16"/>
        <v>0</v>
      </c>
      <c r="AD31" s="36" t="s">
        <v>7</v>
      </c>
      <c r="AE31" s="24">
        <f>IFERROR(AVERAGEIF('Contract Comparison Tool'!$C$5:$C$124,"Standard",'Contract Comparison Tool'!$B$5:$B$124), $B$13)</f>
        <v>871.97142857142853</v>
      </c>
      <c r="AF31" s="41">
        <f>AE31*$D31</f>
        <v>0</v>
      </c>
      <c r="AG31" s="13">
        <v>-35</v>
      </c>
      <c r="AH31" s="78">
        <f t="shared" si="17"/>
        <v>0</v>
      </c>
      <c r="AJ31" s="36" t="s">
        <v>7</v>
      </c>
      <c r="AK31" s="24">
        <f>IFERROR(AVERAGEIF('Contract Comparison Tool'!$C$5:$C$124,"Standard",'Contract Comparison Tool'!$B$5:$B$124), $B$13)</f>
        <v>871.97142857142853</v>
      </c>
      <c r="AL31" s="41">
        <f>AK31*$D31</f>
        <v>0</v>
      </c>
      <c r="AM31" s="26">
        <f>-(AK12-AK14)</f>
        <v>-22.047244094488178</v>
      </c>
      <c r="AN31" s="78">
        <f t="shared" ref="AN31:AN32" si="23">AL31*AM31/100</f>
        <v>0</v>
      </c>
    </row>
    <row r="32" spans="1:40" x14ac:dyDescent="0.35">
      <c r="A32" s="36" t="s">
        <v>33</v>
      </c>
      <c r="B32" s="40">
        <f>'Contract Comparison Tool'!K32</f>
        <v>0</v>
      </c>
      <c r="C32" s="20">
        <v>0</v>
      </c>
      <c r="D32" s="40">
        <f t="shared" si="14"/>
        <v>0</v>
      </c>
      <c r="F32" s="36" t="s">
        <v>33</v>
      </c>
      <c r="G32" s="24">
        <f>IFERROR(AVERAGEIF('Contract Comparison Tool'!$C$5:$C$124,"No Roll",'Contract Comparison Tool'!$B$5:$B$124), $B$13)</f>
        <v>871.97142857142853</v>
      </c>
      <c r="H32" s="41">
        <f t="shared" ref="H32:H33" si="24">G32*$D32</f>
        <v>0</v>
      </c>
      <c r="I32" s="26">
        <f>-(G12-G14)</f>
        <v>-3.2786885245901658</v>
      </c>
      <c r="J32" s="78">
        <f t="shared" ref="J32" si="25">H32*I32/100</f>
        <v>0</v>
      </c>
      <c r="K32" s="6"/>
      <c r="L32" s="36" t="s">
        <v>33</v>
      </c>
      <c r="M32" s="77">
        <f>IFERROR(AVERAGEIF('Contract Comparison Tool'!$C$5:$C$124,"No Roll",'Contract Comparison Tool'!$B$5:$B$124), $B$13)</f>
        <v>871.97142857142853</v>
      </c>
      <c r="N32" s="41">
        <f t="shared" ref="N32:N33" si="26">M32*$D32</f>
        <v>0</v>
      </c>
      <c r="O32" s="26">
        <f>-(M12-M14)</f>
        <v>-3.2786885245901658</v>
      </c>
      <c r="P32" s="78">
        <f t="shared" ref="P32" si="27">N32*O32/100</f>
        <v>0</v>
      </c>
      <c r="R32" s="36" t="s">
        <v>33</v>
      </c>
      <c r="S32" s="24">
        <f>IFERROR(AVERAGEIF('Contract Comparison Tool'!$C$5:$C$124,"No Roll",'Contract Comparison Tool'!$B$5:$B$124), $B$13)</f>
        <v>871.97142857142853</v>
      </c>
      <c r="T32" s="41">
        <f t="shared" si="18"/>
        <v>0</v>
      </c>
      <c r="U32" s="13">
        <v>-35</v>
      </c>
      <c r="V32" s="78">
        <f t="shared" si="15"/>
        <v>0</v>
      </c>
      <c r="X32" s="36" t="s">
        <v>33</v>
      </c>
      <c r="Y32" s="24">
        <f>IFERROR(AVERAGEIF('Contract Comparison Tool'!$C$5:$C$124,"No Roll",'Contract Comparison Tool'!$B$5:$B$124), $B$13)</f>
        <v>871.97142857142853</v>
      </c>
      <c r="Z32" s="41">
        <f t="shared" si="19"/>
        <v>0</v>
      </c>
      <c r="AA32" s="13">
        <v>-35</v>
      </c>
      <c r="AB32" s="78">
        <f t="shared" si="16"/>
        <v>0</v>
      </c>
      <c r="AD32" s="36" t="s">
        <v>33</v>
      </c>
      <c r="AE32" s="24">
        <f>IFERROR(AVERAGEIF('Contract Comparison Tool'!$C$5:$C$124,"No Roll",'Contract Comparison Tool'!$B$5:$B$124), $B$13)</f>
        <v>871.97142857142853</v>
      </c>
      <c r="AF32" s="41">
        <f t="shared" si="20"/>
        <v>0</v>
      </c>
      <c r="AG32" s="13">
        <v>-35</v>
      </c>
      <c r="AH32" s="78">
        <f t="shared" si="17"/>
        <v>0</v>
      </c>
      <c r="AJ32" s="36" t="s">
        <v>33</v>
      </c>
      <c r="AK32" s="24">
        <f>IFERROR(AVERAGEIF('Contract Comparison Tool'!$C$5:$C$124,"No Roll",'Contract Comparison Tool'!$B$5:$B$124), $B$13)</f>
        <v>871.97142857142853</v>
      </c>
      <c r="AL32" s="41">
        <f t="shared" ref="AL32" si="28">AK32*$D32</f>
        <v>0</v>
      </c>
      <c r="AM32" s="26">
        <f>-(AK12-AK14)</f>
        <v>-22.047244094488178</v>
      </c>
      <c r="AN32" s="78">
        <f t="shared" si="23"/>
        <v>0</v>
      </c>
    </row>
    <row r="33" spans="1:40" x14ac:dyDescent="0.35">
      <c r="A33" s="36" t="s">
        <v>31</v>
      </c>
      <c r="B33" s="40">
        <f>'Contract Comparison Tool'!K33</f>
        <v>0</v>
      </c>
      <c r="C33" s="20">
        <v>0</v>
      </c>
      <c r="D33" s="40">
        <f t="shared" si="14"/>
        <v>0</v>
      </c>
      <c r="F33" s="36" t="s">
        <v>31</v>
      </c>
      <c r="G33" s="24">
        <f>IFERROR(AVERAGEIF('Contract Comparison Tool'!$E$5:$E$124,"Yes",'Contract Comparison Tool'!$B$5:$B$124), $B$13)</f>
        <v>871.97142857142853</v>
      </c>
      <c r="H33" s="41">
        <f t="shared" si="24"/>
        <v>0</v>
      </c>
      <c r="I33" s="15">
        <v>-20</v>
      </c>
      <c r="J33" s="78">
        <f>H33*I33/100</f>
        <v>0</v>
      </c>
      <c r="K33" s="6"/>
      <c r="L33" s="36" t="s">
        <v>31</v>
      </c>
      <c r="M33" s="77">
        <f>IFERROR(AVERAGEIF('Contract Comparison Tool'!$E$5:$E$124,"Yes",'Contract Comparison Tool'!$B$5:$B$124), $B$13)</f>
        <v>871.97142857142853</v>
      </c>
      <c r="N33" s="41">
        <f t="shared" si="26"/>
        <v>0</v>
      </c>
      <c r="O33" s="15">
        <v>-20</v>
      </c>
      <c r="P33" s="78">
        <f>N33*O33/100</f>
        <v>0</v>
      </c>
      <c r="R33" s="36" t="s">
        <v>31</v>
      </c>
      <c r="S33" s="24">
        <f>IFERROR(AVERAGEIF('Contract Comparison Tool'!$E$5:$E$124,"Yes",'Contract Comparison Tool'!$B$5:$B$124), $B$13)</f>
        <v>871.97142857142853</v>
      </c>
      <c r="T33" s="41">
        <f t="shared" si="18"/>
        <v>0</v>
      </c>
      <c r="U33" s="15">
        <v>-35</v>
      </c>
      <c r="V33" s="78">
        <f t="shared" si="15"/>
        <v>0</v>
      </c>
      <c r="X33" s="36" t="s">
        <v>31</v>
      </c>
      <c r="Y33" s="24">
        <f>IFERROR(AVERAGEIF('Contract Comparison Tool'!$E$5:$E$124,"Yes",'Contract Comparison Tool'!$B$5:$B$124), $B$13)</f>
        <v>871.97142857142853</v>
      </c>
      <c r="Z33" s="41">
        <f t="shared" si="19"/>
        <v>0</v>
      </c>
      <c r="AA33" s="15">
        <v>-35</v>
      </c>
      <c r="AB33" s="78">
        <f t="shared" si="16"/>
        <v>0</v>
      </c>
      <c r="AD33" s="36" t="s">
        <v>31</v>
      </c>
      <c r="AE33" s="24">
        <f>IFERROR(AVERAGEIF('Contract Comparison Tool'!$E$5:$E$124,"Yes",'Contract Comparison Tool'!$B$5:$B$124), $B$13)</f>
        <v>871.97142857142853</v>
      </c>
      <c r="AF33" s="41">
        <f t="shared" si="20"/>
        <v>0</v>
      </c>
      <c r="AG33" s="15">
        <v>-35</v>
      </c>
      <c r="AH33" s="78">
        <f t="shared" si="17"/>
        <v>0</v>
      </c>
      <c r="AJ33" s="36" t="s">
        <v>31</v>
      </c>
      <c r="AK33" s="24">
        <f>IFERROR(AVERAGEIF('Contract Comparison Tool'!$E$5:$E$124,"Yes",'Contract Comparison Tool'!$B$5:$B$124), $B$13)</f>
        <v>871.97142857142853</v>
      </c>
      <c r="AL33" s="41">
        <f t="shared" ref="AL33" si="29">AK33*$D33</f>
        <v>0</v>
      </c>
      <c r="AM33" s="15">
        <v>-20</v>
      </c>
      <c r="AN33" s="78">
        <f>AL33*AM33/100</f>
        <v>0</v>
      </c>
    </row>
    <row r="34" spans="1:40" ht="17" customHeight="1" x14ac:dyDescent="0.35">
      <c r="A34" s="36" t="s">
        <v>8</v>
      </c>
      <c r="B34" s="40">
        <f>'Contract Comparison Tool'!K34</f>
        <v>0</v>
      </c>
      <c r="C34" s="20">
        <v>0</v>
      </c>
      <c r="D34" s="40">
        <f t="shared" si="14"/>
        <v>0</v>
      </c>
      <c r="F34" s="130"/>
      <c r="G34" s="131"/>
      <c r="H34" s="131"/>
      <c r="I34" s="131"/>
      <c r="J34" s="132"/>
      <c r="K34" s="6"/>
      <c r="L34" s="130"/>
      <c r="M34" s="131"/>
      <c r="N34" s="131"/>
      <c r="O34" s="131"/>
      <c r="P34" s="132"/>
      <c r="R34" s="36" t="s">
        <v>8</v>
      </c>
      <c r="S34" s="24">
        <f>IFERROR(AVERAGEIF('Contract Comparison Tool'!$F$5:$F$124,"Yes",'Contract Comparison Tool'!$B$5:$B$124), $B$13)</f>
        <v>871.97142857142853</v>
      </c>
      <c r="T34" s="41">
        <f t="shared" si="18"/>
        <v>0</v>
      </c>
      <c r="U34" s="13">
        <v>-20</v>
      </c>
      <c r="V34" s="78">
        <f t="shared" si="15"/>
        <v>0</v>
      </c>
      <c r="X34" s="36" t="s">
        <v>8</v>
      </c>
      <c r="Y34" s="24">
        <f>IFERROR(AVERAGEIF('Contract Comparison Tool'!$F$5:$F$124,"Yes",'Contract Comparison Tool'!$B$5:$B$124), $B$13)</f>
        <v>871.97142857142853</v>
      </c>
      <c r="Z34" s="41">
        <f t="shared" si="19"/>
        <v>0</v>
      </c>
      <c r="AA34" s="13">
        <v>-20</v>
      </c>
      <c r="AB34" s="78">
        <f t="shared" si="16"/>
        <v>0</v>
      </c>
      <c r="AD34" s="36" t="s">
        <v>8</v>
      </c>
      <c r="AE34" s="24">
        <f>IFERROR(AVERAGEIF('Contract Comparison Tool'!$F$5:$F$124,"Yes",'Contract Comparison Tool'!$B$5:$B$124), $B$13)</f>
        <v>871.97142857142853</v>
      </c>
      <c r="AF34" s="41">
        <f t="shared" si="20"/>
        <v>0</v>
      </c>
      <c r="AG34" s="13">
        <v>-20</v>
      </c>
      <c r="AH34" s="78">
        <f t="shared" si="17"/>
        <v>0</v>
      </c>
      <c r="AJ34" s="130"/>
      <c r="AK34" s="131"/>
      <c r="AL34" s="131"/>
      <c r="AM34" s="131"/>
      <c r="AN34" s="132"/>
    </row>
    <row r="35" spans="1:40" ht="14.5" customHeight="1" x14ac:dyDescent="0.35">
      <c r="A35" s="84" t="s">
        <v>2</v>
      </c>
      <c r="B35" s="84" t="s">
        <v>54</v>
      </c>
      <c r="C35" s="98" t="s">
        <v>49</v>
      </c>
      <c r="D35" s="98" t="s">
        <v>55</v>
      </c>
      <c r="E35" s="38"/>
      <c r="F35" s="99" t="s">
        <v>2</v>
      </c>
      <c r="G35" s="99" t="s">
        <v>64</v>
      </c>
      <c r="H35" s="83" t="s">
        <v>36</v>
      </c>
      <c r="I35" s="90" t="s">
        <v>50</v>
      </c>
      <c r="J35" s="82" t="s">
        <v>35</v>
      </c>
      <c r="K35" s="38"/>
      <c r="L35" s="114" t="s">
        <v>2</v>
      </c>
      <c r="M35" s="99" t="s">
        <v>64</v>
      </c>
      <c r="N35" s="83" t="s">
        <v>36</v>
      </c>
      <c r="O35" s="115" t="s">
        <v>50</v>
      </c>
      <c r="P35" s="116" t="s">
        <v>35</v>
      </c>
      <c r="Q35" s="38"/>
      <c r="R35" s="99" t="s">
        <v>2</v>
      </c>
      <c r="S35" s="99" t="s">
        <v>64</v>
      </c>
      <c r="T35" s="83" t="s">
        <v>36</v>
      </c>
      <c r="U35" s="90" t="s">
        <v>50</v>
      </c>
      <c r="V35" s="82" t="s">
        <v>35</v>
      </c>
      <c r="W35" s="38"/>
      <c r="X35" s="114" t="s">
        <v>2</v>
      </c>
      <c r="Y35" s="99" t="s">
        <v>64</v>
      </c>
      <c r="Z35" s="83" t="s">
        <v>36</v>
      </c>
      <c r="AA35" s="90" t="s">
        <v>50</v>
      </c>
      <c r="AB35" s="116" t="s">
        <v>35</v>
      </c>
      <c r="AD35" s="99" t="s">
        <v>2</v>
      </c>
      <c r="AE35" s="99" t="s">
        <v>64</v>
      </c>
      <c r="AF35" s="83" t="s">
        <v>36</v>
      </c>
      <c r="AG35" s="90" t="s">
        <v>50</v>
      </c>
      <c r="AH35" s="82" t="s">
        <v>35</v>
      </c>
      <c r="AI35" s="38"/>
      <c r="AJ35" s="114" t="s">
        <v>2</v>
      </c>
      <c r="AK35" s="99" t="s">
        <v>64</v>
      </c>
      <c r="AL35" s="83" t="s">
        <v>36</v>
      </c>
      <c r="AM35" s="85" t="s">
        <v>50</v>
      </c>
      <c r="AN35" s="116" t="s">
        <v>35</v>
      </c>
    </row>
    <row r="36" spans="1:40" ht="15.5" customHeight="1" x14ac:dyDescent="0.35">
      <c r="A36" s="84"/>
      <c r="B36" s="84"/>
      <c r="C36" s="98"/>
      <c r="D36" s="98"/>
      <c r="F36" s="100"/>
      <c r="G36" s="100"/>
      <c r="H36" s="84"/>
      <c r="I36" s="91"/>
      <c r="J36" s="83"/>
      <c r="K36" s="38"/>
      <c r="L36" s="100"/>
      <c r="M36" s="100"/>
      <c r="N36" s="84"/>
      <c r="O36" s="91"/>
      <c r="P36" s="83"/>
      <c r="Q36" s="38"/>
      <c r="R36" s="100"/>
      <c r="S36" s="100"/>
      <c r="T36" s="84"/>
      <c r="U36" s="91"/>
      <c r="V36" s="83"/>
      <c r="W36" s="38"/>
      <c r="X36" s="100"/>
      <c r="Y36" s="100"/>
      <c r="Z36" s="84"/>
      <c r="AA36" s="91"/>
      <c r="AB36" s="83"/>
      <c r="AD36" s="100"/>
      <c r="AE36" s="100"/>
      <c r="AF36" s="84"/>
      <c r="AG36" s="91"/>
      <c r="AH36" s="83"/>
      <c r="AI36" s="38"/>
      <c r="AJ36" s="100"/>
      <c r="AK36" s="100"/>
      <c r="AL36" s="84"/>
      <c r="AM36" s="85"/>
      <c r="AN36" s="83"/>
    </row>
    <row r="37" spans="1:40" x14ac:dyDescent="0.35">
      <c r="A37" s="36" t="s">
        <v>61</v>
      </c>
      <c r="B37" s="40">
        <f>'Contract Comparison Tool'!K37</f>
        <v>0</v>
      </c>
      <c r="C37" s="20">
        <v>0</v>
      </c>
      <c r="D37" s="40">
        <f t="shared" ref="D37:D41" si="30">B37+C37</f>
        <v>0</v>
      </c>
      <c r="F37" s="36" t="s">
        <v>61</v>
      </c>
      <c r="G37" s="21">
        <f>IFERROR(AVERAGEIF('Contract Comparison Tool'!$D$5:$D$124,"1",'Contract Comparison Tool'!$B$5:$B$124), $B$13)</f>
        <v>871.97142857142853</v>
      </c>
      <c r="H37" s="41">
        <f>G37*$D37</f>
        <v>0</v>
      </c>
      <c r="I37" s="16">
        <v>0</v>
      </c>
      <c r="J37" s="48">
        <f>H37*I37/100</f>
        <v>0</v>
      </c>
      <c r="K37" s="6"/>
      <c r="L37" s="36" t="s">
        <v>61</v>
      </c>
      <c r="M37" s="79">
        <f>IFERROR(AVERAGEIF('Contract Comparison Tool'!$D$5:$D$124,"1",'Contract Comparison Tool'!$B$5:$B$124), $B$13)</f>
        <v>871.97142857142853</v>
      </c>
      <c r="N37" s="41">
        <f>M37*$D37</f>
        <v>0</v>
      </c>
      <c r="O37" s="16">
        <v>0</v>
      </c>
      <c r="P37" s="42">
        <f>(N37*O37/100)</f>
        <v>0</v>
      </c>
      <c r="R37" s="36" t="s">
        <v>61</v>
      </c>
      <c r="S37" s="21">
        <f>IFERROR(AVERAGEIF('Contract Comparison Tool'!$D$5:$D$124,"1",'Contract Comparison Tool'!$B$5:$B$124), $B$13)</f>
        <v>871.97142857142853</v>
      </c>
      <c r="T37" s="41">
        <f>S37*$D37</f>
        <v>0</v>
      </c>
      <c r="U37" s="16">
        <v>0</v>
      </c>
      <c r="V37" s="48">
        <f>T37*U37/100</f>
        <v>0</v>
      </c>
      <c r="X37" s="36" t="s">
        <v>61</v>
      </c>
      <c r="Y37" s="21">
        <f>IFERROR(AVERAGEIF('Contract Comparison Tool'!$D$5:$D$124,"1",'Contract Comparison Tool'!$B$5:$B$124), $B$13)</f>
        <v>871.97142857142853</v>
      </c>
      <c r="Z37" s="41">
        <f>Y37*$D37</f>
        <v>0</v>
      </c>
      <c r="AA37" s="16">
        <v>0</v>
      </c>
      <c r="AB37" s="42">
        <f>(Z37*AA37/100)</f>
        <v>0</v>
      </c>
      <c r="AD37" s="36" t="s">
        <v>61</v>
      </c>
      <c r="AE37" s="21">
        <f>IFERROR(AVERAGEIF('Contract Comparison Tool'!$D$5:$D$124,"1",'Contract Comparison Tool'!$B$5:$B$124), $B$13)</f>
        <v>871.97142857142853</v>
      </c>
      <c r="AF37" s="41">
        <f>AE37*$D37</f>
        <v>0</v>
      </c>
      <c r="AG37" s="16">
        <v>0</v>
      </c>
      <c r="AH37" s="48">
        <f>AF37*AG37/100</f>
        <v>0</v>
      </c>
      <c r="AJ37" s="36" t="s">
        <v>61</v>
      </c>
      <c r="AK37" s="21">
        <f>IFERROR(AVERAGEIF('Contract Comparison Tool'!$D$5:$D$124,"1",'Contract Comparison Tool'!$B$5:$B$124), $B$13)</f>
        <v>871.97142857142853</v>
      </c>
      <c r="AL37" s="41">
        <f>AK37*$D37</f>
        <v>0</v>
      </c>
      <c r="AM37" s="16">
        <v>0</v>
      </c>
      <c r="AN37" s="42">
        <f>(AL37*AM37/100)</f>
        <v>0</v>
      </c>
    </row>
    <row r="38" spans="1:40" x14ac:dyDescent="0.35">
      <c r="A38" s="36" t="s">
        <v>62</v>
      </c>
      <c r="B38" s="40">
        <f>'Contract Comparison Tool'!K38</f>
        <v>12</v>
      </c>
      <c r="C38" s="20">
        <v>0</v>
      </c>
      <c r="D38" s="40">
        <f t="shared" si="30"/>
        <v>12</v>
      </c>
      <c r="F38" s="36" t="s">
        <v>62</v>
      </c>
      <c r="G38" s="21">
        <f>IFERROR(AVERAGEIF('Contract Comparison Tool'!$D$5:$D$124,"2",'Contract Comparison Tool'!$B$5:$B$124), $B$13)</f>
        <v>845.58333333333337</v>
      </c>
      <c r="H38" s="41">
        <f>G38*$D38</f>
        <v>10147</v>
      </c>
      <c r="I38" s="13">
        <v>0</v>
      </c>
      <c r="J38" s="48">
        <f>H38*I38/100</f>
        <v>0</v>
      </c>
      <c r="K38" s="6"/>
      <c r="L38" s="36" t="s">
        <v>62</v>
      </c>
      <c r="M38" s="79">
        <f>IFERROR(AVERAGEIF('Contract Comparison Tool'!$D$5:$D$124,"2",'Contract Comparison Tool'!$B$5:$B$124), $B$13)</f>
        <v>845.58333333333337</v>
      </c>
      <c r="N38" s="41">
        <f>M38*$D38</f>
        <v>10147</v>
      </c>
      <c r="O38" s="13">
        <v>0</v>
      </c>
      <c r="P38" s="42">
        <f>(N38*O38/100)</f>
        <v>0</v>
      </c>
      <c r="R38" s="36" t="s">
        <v>62</v>
      </c>
      <c r="S38" s="21">
        <f>IFERROR(AVERAGEIF('Contract Comparison Tool'!$D$5:$D$124,"2",'Contract Comparison Tool'!$B$5:$B$124), $B$13)</f>
        <v>845.58333333333337</v>
      </c>
      <c r="T38" s="41">
        <f>S38*$D38</f>
        <v>10147</v>
      </c>
      <c r="U38" s="13">
        <v>0</v>
      </c>
      <c r="V38" s="48">
        <f>T38*U38/100</f>
        <v>0</v>
      </c>
      <c r="X38" s="36" t="s">
        <v>62</v>
      </c>
      <c r="Y38" s="21">
        <f>IFERROR(AVERAGEIF('Contract Comparison Tool'!$D$5:$D$124,"2",'Contract Comparison Tool'!$B$5:$B$124), $B$13)</f>
        <v>845.58333333333337</v>
      </c>
      <c r="Z38" s="41">
        <f>Y38*$D38</f>
        <v>10147</v>
      </c>
      <c r="AA38" s="13">
        <v>0</v>
      </c>
      <c r="AB38" s="42">
        <f>(Z38*AA38/100)</f>
        <v>0</v>
      </c>
      <c r="AD38" s="36" t="s">
        <v>62</v>
      </c>
      <c r="AE38" s="21">
        <f>IFERROR(AVERAGEIF('Contract Comparison Tool'!$D$5:$D$124,"2",'Contract Comparison Tool'!$B$5:$B$124), $B$13)</f>
        <v>845.58333333333337</v>
      </c>
      <c r="AF38" s="41">
        <f>AE38*$D38</f>
        <v>10147</v>
      </c>
      <c r="AG38" s="13">
        <v>0</v>
      </c>
      <c r="AH38" s="48">
        <f>AF38*AG38/100</f>
        <v>0</v>
      </c>
      <c r="AJ38" s="36" t="s">
        <v>62</v>
      </c>
      <c r="AK38" s="21">
        <f>IFERROR(AVERAGEIF('Contract Comparison Tool'!$D$5:$D$124,"2",'Contract Comparison Tool'!$B$5:$B$124), $B$13)</f>
        <v>845.58333333333337</v>
      </c>
      <c r="AL38" s="41">
        <f>AK38*$D38</f>
        <v>10147</v>
      </c>
      <c r="AM38" s="13">
        <v>0</v>
      </c>
      <c r="AN38" s="42">
        <f>(AL38*AM38/100)</f>
        <v>0</v>
      </c>
    </row>
    <row r="39" spans="1:40" x14ac:dyDescent="0.35">
      <c r="A39" s="36" t="s">
        <v>63</v>
      </c>
      <c r="B39" s="40">
        <f>'Contract Comparison Tool'!K39</f>
        <v>23</v>
      </c>
      <c r="C39" s="20">
        <v>0</v>
      </c>
      <c r="D39" s="40">
        <f>B39+C39</f>
        <v>23</v>
      </c>
      <c r="F39" s="36" t="s">
        <v>63</v>
      </c>
      <c r="G39" s="21">
        <f>IFERROR(AVERAGEIF('Contract Comparison Tool'!$D$5:$D$124,"3",'Contract Comparison Tool'!$B$5:$B$124), $B$13)</f>
        <v>885.73913043478262</v>
      </c>
      <c r="H39" s="41">
        <f>G39*$D39</f>
        <v>20372</v>
      </c>
      <c r="I39" s="13">
        <v>0</v>
      </c>
      <c r="J39" s="48">
        <f>H39*I39/100</f>
        <v>0</v>
      </c>
      <c r="K39" s="6"/>
      <c r="L39" s="36" t="s">
        <v>63</v>
      </c>
      <c r="M39" s="79">
        <f>IFERROR(AVERAGEIF('Contract Comparison Tool'!$D$5:$D$124,"3",'Contract Comparison Tool'!$B$5:$B$124), $B$13)</f>
        <v>885.73913043478262</v>
      </c>
      <c r="N39" s="41">
        <f>M39*$D39</f>
        <v>20372</v>
      </c>
      <c r="O39" s="13">
        <v>0</v>
      </c>
      <c r="P39" s="42">
        <f>(N39*O39/100)</f>
        <v>0</v>
      </c>
      <c r="R39" s="36" t="s">
        <v>63</v>
      </c>
      <c r="S39" s="21">
        <f>IFERROR(AVERAGEIF('Contract Comparison Tool'!$D$5:$D$124,"3",'Contract Comparison Tool'!$B$5:$B$124), $B$13)</f>
        <v>885.73913043478262</v>
      </c>
      <c r="T39" s="41">
        <f>S39*$D39</f>
        <v>20372</v>
      </c>
      <c r="U39" s="13">
        <v>0</v>
      </c>
      <c r="V39" s="48">
        <f>T39*U39/100</f>
        <v>0</v>
      </c>
      <c r="X39" s="36" t="s">
        <v>63</v>
      </c>
      <c r="Y39" s="21">
        <f>IFERROR(AVERAGEIF('Contract Comparison Tool'!$D$5:$D$124,"3",'Contract Comparison Tool'!$B$5:$B$124), $B$13)</f>
        <v>885.73913043478262</v>
      </c>
      <c r="Z39" s="41">
        <f>Y39*$D39</f>
        <v>20372</v>
      </c>
      <c r="AA39" s="13">
        <v>0</v>
      </c>
      <c r="AB39" s="42">
        <f>(Z39*AA39/100)</f>
        <v>0</v>
      </c>
      <c r="AD39" s="36" t="s">
        <v>63</v>
      </c>
      <c r="AE39" s="21">
        <f>IFERROR(AVERAGEIF('Contract Comparison Tool'!$D$5:$D$124,"3",'Contract Comparison Tool'!$B$5:$B$124), $B$13)</f>
        <v>885.73913043478262</v>
      </c>
      <c r="AF39" s="41">
        <f>AE39*$D39</f>
        <v>20372</v>
      </c>
      <c r="AG39" s="13">
        <v>0</v>
      </c>
      <c r="AH39" s="48">
        <f>AF39*AG39/100</f>
        <v>0</v>
      </c>
      <c r="AJ39" s="36" t="s">
        <v>63</v>
      </c>
      <c r="AK39" s="21">
        <f>IFERROR(AVERAGEIF('Contract Comparison Tool'!$D$5:$D$124,"3",'Contract Comparison Tool'!$B$5:$B$124), $B$13)</f>
        <v>885.73913043478262</v>
      </c>
      <c r="AL39" s="41">
        <f>AK39*$D39</f>
        <v>20372</v>
      </c>
      <c r="AM39" s="13">
        <v>0</v>
      </c>
      <c r="AN39" s="42">
        <f>(AL39*AM39/100)</f>
        <v>0</v>
      </c>
    </row>
    <row r="40" spans="1:40" x14ac:dyDescent="0.35">
      <c r="A40" s="36" t="s">
        <v>43</v>
      </c>
      <c r="B40" s="40">
        <f>'Contract Comparison Tool'!K40</f>
        <v>0</v>
      </c>
      <c r="C40" s="20">
        <v>0</v>
      </c>
      <c r="D40" s="40">
        <f t="shared" si="30"/>
        <v>0</v>
      </c>
      <c r="F40" s="36" t="s">
        <v>41</v>
      </c>
      <c r="G40" s="21">
        <f>IFERROR(AVERAGEIF('Contract Comparison Tool'!$D$5:$D$124,"4",'Contract Comparison Tool'!$B$5:$B$124), $B$13)</f>
        <v>871.97142857142853</v>
      </c>
      <c r="H40" s="41">
        <f>G40*$D40</f>
        <v>0</v>
      </c>
      <c r="I40" s="15">
        <v>-10</v>
      </c>
      <c r="J40" s="42">
        <f>IF(((D40/(B8-B9))*100)&gt;5,((((((((D40/(B8-B9))*100)-5)/100)*(B8-B9))*(H40/D40))*(I40/100))), 0)</f>
        <v>0</v>
      </c>
      <c r="K40" s="6"/>
      <c r="L40" s="36" t="s">
        <v>41</v>
      </c>
      <c r="M40" s="79">
        <f>IFERROR(AVERAGEIF('Contract Comparison Tool'!$D$5:$D$124,"4",'Contract Comparison Tool'!$B$5:$B$124), $B$13)</f>
        <v>871.97142857142853</v>
      </c>
      <c r="N40" s="41">
        <f>M40*$D40</f>
        <v>0</v>
      </c>
      <c r="O40" s="15">
        <v>-10</v>
      </c>
      <c r="P40" s="47">
        <f>IF(((D40/(B8-B9))*100)&gt;5,((((((((D40/(B8-B9))*100)-5)/100)*(B8-B9))*M40)*(O40/100))), 0)</f>
        <v>0</v>
      </c>
      <c r="Q40" s="33"/>
      <c r="R40" s="36" t="s">
        <v>43</v>
      </c>
      <c r="S40" s="21">
        <f>IFERROR(AVERAGEIF('Contract Comparison Tool'!$D$5:$D$124,"4",'Contract Comparison Tool'!$B$5:$B$124), $B$13)</f>
        <v>871.97142857142853</v>
      </c>
      <c r="T40" s="41">
        <f>S40*$D40</f>
        <v>0</v>
      </c>
      <c r="U40" s="13">
        <v>-10</v>
      </c>
      <c r="V40" s="48">
        <f>T40*U40/100</f>
        <v>0</v>
      </c>
      <c r="X40" s="36" t="s">
        <v>43</v>
      </c>
      <c r="Y40" s="21">
        <f>IFERROR(AVERAGEIF('Contract Comparison Tool'!$D$5:$D$124,"4",'Contract Comparison Tool'!$B$5:$B$124), $B$13)</f>
        <v>871.97142857142853</v>
      </c>
      <c r="Z40" s="41">
        <f>Y40*$D40</f>
        <v>0</v>
      </c>
      <c r="AA40" s="13">
        <v>-10</v>
      </c>
      <c r="AB40" s="48">
        <f>Z40*AA40/100</f>
        <v>0</v>
      </c>
      <c r="AD40" s="36" t="s">
        <v>43</v>
      </c>
      <c r="AE40" s="21">
        <f>IFERROR(AVERAGEIF('Contract Comparison Tool'!$D$5:$D$124,"4",'Contract Comparison Tool'!$B$5:$B$124), $B$13)</f>
        <v>871.97142857142853</v>
      </c>
      <c r="AF40" s="41">
        <f>AE40*$D40</f>
        <v>0</v>
      </c>
      <c r="AG40" s="13">
        <v>-10</v>
      </c>
      <c r="AH40" s="48">
        <f>AF40*AG40/100</f>
        <v>0</v>
      </c>
      <c r="AJ40" s="36" t="s">
        <v>41</v>
      </c>
      <c r="AK40" s="21">
        <f>IFERROR(AVERAGEIF('Contract Comparison Tool'!$D$5:$D$124,"4",'Contract Comparison Tool'!$B$5:$B$124), $B$13)</f>
        <v>871.97142857142853</v>
      </c>
      <c r="AL40" s="41">
        <f>AK40*$D40</f>
        <v>0</v>
      </c>
      <c r="AM40" s="15">
        <v>-10</v>
      </c>
      <c r="AN40" s="47">
        <f>IF(((D40/(B8-B9))*100)&gt;5,((((((((D40/(B8-B9))*100)-5)/100)*(B8-B9))*AK40)*(AM40/100))), 0)</f>
        <v>0</v>
      </c>
    </row>
    <row r="41" spans="1:40" ht="17" customHeight="1" x14ac:dyDescent="0.35">
      <c r="A41" s="36" t="s">
        <v>39</v>
      </c>
      <c r="B41" s="40">
        <f>'Contract Comparison Tool'!K41</f>
        <v>0</v>
      </c>
      <c r="C41" s="20">
        <v>0</v>
      </c>
      <c r="D41" s="40">
        <f t="shared" si="30"/>
        <v>0</v>
      </c>
      <c r="F41" s="36" t="s">
        <v>39</v>
      </c>
      <c r="G41" s="21">
        <f>IFERROR(AVERAGEIF('Contract Comparison Tool'!$D$5:$D$124,"5",'Contract Comparison Tool'!$B$5:$B$124), $B$13)</f>
        <v>871.97142857142853</v>
      </c>
      <c r="H41" s="41">
        <f>G41*$D41</f>
        <v>0</v>
      </c>
      <c r="I41" s="13">
        <v>-20</v>
      </c>
      <c r="J41" s="48">
        <f>H41*I41/100</f>
        <v>0</v>
      </c>
      <c r="K41" s="6"/>
      <c r="L41" s="36" t="s">
        <v>39</v>
      </c>
      <c r="M41" s="79">
        <f>IFERROR(AVERAGEIF('Contract Comparison Tool'!$D$5:$D$124,"5",'Contract Comparison Tool'!$B$5:$B$124), $B$13)</f>
        <v>871.97142857142853</v>
      </c>
      <c r="N41" s="41">
        <f>M41*$D41</f>
        <v>0</v>
      </c>
      <c r="O41" s="13">
        <v>-20</v>
      </c>
      <c r="P41" s="42">
        <f>(N41*O41/100)</f>
        <v>0</v>
      </c>
      <c r="R41" s="36" t="s">
        <v>39</v>
      </c>
      <c r="S41" s="21">
        <f>IFERROR(AVERAGEIF('Contract Comparison Tool'!$D$5:$D$124,"5",'Contract Comparison Tool'!$B$5:$B$124), $B$13)</f>
        <v>871.97142857142853</v>
      </c>
      <c r="T41" s="41">
        <f>S41*$D41</f>
        <v>0</v>
      </c>
      <c r="U41" s="13">
        <v>-10</v>
      </c>
      <c r="V41" s="48">
        <f>T41*U41/100</f>
        <v>0</v>
      </c>
      <c r="X41" s="36" t="s">
        <v>39</v>
      </c>
      <c r="Y41" s="21">
        <f>IFERROR(AVERAGEIF('Contract Comparison Tool'!$D$5:$D$124,"5",'Contract Comparison Tool'!$B$5:$B$124), $B$13)</f>
        <v>871.97142857142853</v>
      </c>
      <c r="Z41" s="41">
        <f>Y41*$D41</f>
        <v>0</v>
      </c>
      <c r="AA41" s="13">
        <v>-10</v>
      </c>
      <c r="AB41" s="42">
        <f>(Z41*AA41/100)</f>
        <v>0</v>
      </c>
      <c r="AD41" s="36" t="s">
        <v>39</v>
      </c>
      <c r="AE41" s="21">
        <f>IFERROR(AVERAGEIF('Contract Comparison Tool'!$D$5:$D$124,"5",'Contract Comparison Tool'!$B$5:$B$124), $B$13)</f>
        <v>871.97142857142853</v>
      </c>
      <c r="AF41" s="41">
        <f>AE41*$D41</f>
        <v>0</v>
      </c>
      <c r="AG41" s="13">
        <v>-10</v>
      </c>
      <c r="AH41" s="48">
        <f>AF41*AG41/100</f>
        <v>0</v>
      </c>
      <c r="AJ41" s="36" t="s">
        <v>39</v>
      </c>
      <c r="AK41" s="21">
        <f>IFERROR(AVERAGEIF('Contract Comparison Tool'!$D$5:$D$124,"5",'Contract Comparison Tool'!$B$5:$B$124), $B$13)</f>
        <v>871.97142857142853</v>
      </c>
      <c r="AL41" s="41">
        <f>AK41*$D41</f>
        <v>0</v>
      </c>
      <c r="AM41" s="13">
        <v>-20</v>
      </c>
      <c r="AN41" s="42">
        <f>(AL41*AM41/100)</f>
        <v>0</v>
      </c>
    </row>
    <row r="42" spans="1:40" ht="17" customHeight="1" x14ac:dyDescent="0.35">
      <c r="A42" s="88" t="s">
        <v>130</v>
      </c>
      <c r="B42" s="84" t="s">
        <v>54</v>
      </c>
      <c r="C42" s="98" t="s">
        <v>49</v>
      </c>
      <c r="D42" s="98" t="s">
        <v>55</v>
      </c>
      <c r="E42" s="38"/>
      <c r="F42" s="88" t="s">
        <v>130</v>
      </c>
      <c r="G42" s="99" t="s">
        <v>64</v>
      </c>
      <c r="H42" s="83" t="s">
        <v>36</v>
      </c>
      <c r="I42" s="90" t="s">
        <v>50</v>
      </c>
      <c r="J42" s="82" t="s">
        <v>35</v>
      </c>
      <c r="K42" s="38"/>
      <c r="L42" s="88" t="s">
        <v>130</v>
      </c>
      <c r="M42" s="99" t="s">
        <v>64</v>
      </c>
      <c r="N42" s="83" t="s">
        <v>36</v>
      </c>
      <c r="O42" s="90" t="s">
        <v>50</v>
      </c>
      <c r="P42" s="82" t="s">
        <v>35</v>
      </c>
      <c r="Q42" s="33"/>
      <c r="R42" s="88" t="s">
        <v>130</v>
      </c>
      <c r="S42" s="99" t="s">
        <v>64</v>
      </c>
      <c r="T42" s="83" t="s">
        <v>36</v>
      </c>
      <c r="U42" s="90" t="s">
        <v>50</v>
      </c>
      <c r="V42" s="82" t="s">
        <v>35</v>
      </c>
      <c r="W42" s="38"/>
      <c r="X42" s="88" t="s">
        <v>130</v>
      </c>
      <c r="Y42" s="99" t="s">
        <v>64</v>
      </c>
      <c r="Z42" s="83" t="s">
        <v>36</v>
      </c>
      <c r="AA42" s="90" t="s">
        <v>50</v>
      </c>
      <c r="AB42" s="82" t="s">
        <v>35</v>
      </c>
      <c r="AD42" s="88" t="s">
        <v>130</v>
      </c>
      <c r="AE42" s="99" t="s">
        <v>64</v>
      </c>
      <c r="AF42" s="83" t="s">
        <v>36</v>
      </c>
      <c r="AG42" s="90" t="s">
        <v>50</v>
      </c>
      <c r="AH42" s="82" t="s">
        <v>35</v>
      </c>
      <c r="AI42" s="38"/>
      <c r="AJ42" s="88" t="s">
        <v>130</v>
      </c>
      <c r="AK42" s="99" t="s">
        <v>64</v>
      </c>
      <c r="AL42" s="83" t="s">
        <v>36</v>
      </c>
      <c r="AM42" s="90" t="s">
        <v>50</v>
      </c>
      <c r="AN42" s="82" t="s">
        <v>35</v>
      </c>
    </row>
    <row r="43" spans="1:40" ht="14.5" customHeight="1" x14ac:dyDescent="0.35">
      <c r="A43" s="89"/>
      <c r="B43" s="84"/>
      <c r="C43" s="98"/>
      <c r="D43" s="98"/>
      <c r="F43" s="89"/>
      <c r="G43" s="100"/>
      <c r="H43" s="84"/>
      <c r="I43" s="91"/>
      <c r="J43" s="83"/>
      <c r="K43" s="38"/>
      <c r="L43" s="89"/>
      <c r="M43" s="100"/>
      <c r="N43" s="84"/>
      <c r="O43" s="91"/>
      <c r="P43" s="83"/>
      <c r="Q43" s="38"/>
      <c r="R43" s="89"/>
      <c r="S43" s="100"/>
      <c r="T43" s="84"/>
      <c r="U43" s="91"/>
      <c r="V43" s="83"/>
      <c r="W43" s="38"/>
      <c r="X43" s="89"/>
      <c r="Y43" s="100"/>
      <c r="Z43" s="84"/>
      <c r="AA43" s="91"/>
      <c r="AB43" s="83"/>
      <c r="AD43" s="89"/>
      <c r="AE43" s="100"/>
      <c r="AF43" s="84"/>
      <c r="AG43" s="91"/>
      <c r="AH43" s="83"/>
      <c r="AI43" s="38"/>
      <c r="AJ43" s="89"/>
      <c r="AK43" s="100"/>
      <c r="AL43" s="84"/>
      <c r="AM43" s="91"/>
      <c r="AN43" s="83"/>
    </row>
    <row r="44" spans="1:40" ht="15.5" customHeight="1" x14ac:dyDescent="0.35">
      <c r="A44" s="36" t="s">
        <v>16</v>
      </c>
      <c r="B44" s="40">
        <f>'Contract Comparison Tool'!K44</f>
        <v>0</v>
      </c>
      <c r="C44" s="20">
        <v>0</v>
      </c>
      <c r="D44" s="40">
        <f t="shared" ref="D44:D45" si="31">B44+C44</f>
        <v>0</v>
      </c>
      <c r="F44" s="36" t="s">
        <v>16</v>
      </c>
      <c r="G44" s="22">
        <f>IFERROR(AVERAGEIF('Contract Comparison Tool'!$G$5:$G$124,"Yes",'Contract Comparison Tool'!$B$5:$B$124), $B$13)</f>
        <v>871.97142857142853</v>
      </c>
      <c r="H44" s="41">
        <f>G44*$D44</f>
        <v>0</v>
      </c>
      <c r="I44" s="16">
        <v>-5</v>
      </c>
      <c r="J44" s="78">
        <f>H44*I44/100</f>
        <v>0</v>
      </c>
      <c r="K44" s="6"/>
      <c r="L44" s="36" t="s">
        <v>16</v>
      </c>
      <c r="M44" s="80">
        <f>IFERROR(AVERAGEIF('Contract Comparison Tool'!$G$5:$G$124,"Yes",'Contract Comparison Tool'!$B$5:$B$124), $B$13)</f>
        <v>871.97142857142853</v>
      </c>
      <c r="N44" s="41">
        <f>M44*$D44</f>
        <v>0</v>
      </c>
      <c r="O44" s="16">
        <v>-5</v>
      </c>
      <c r="P44" s="49">
        <f>(N44*O44/100)</f>
        <v>0</v>
      </c>
      <c r="Q44" s="38"/>
      <c r="R44" s="36" t="s">
        <v>16</v>
      </c>
      <c r="S44" s="22">
        <f>IFERROR(AVERAGEIF('Contract Comparison Tool'!$G$5:$G$124,"Yes",'Contract Comparison Tool'!$B$5:$B$124), $B$13)</f>
        <v>871.97142857142853</v>
      </c>
      <c r="T44" s="41">
        <f>S44*$D44</f>
        <v>0</v>
      </c>
      <c r="U44" s="16">
        <v>-5</v>
      </c>
      <c r="V44" s="78">
        <f>T44*U44/100</f>
        <v>0</v>
      </c>
      <c r="X44" s="36" t="s">
        <v>16</v>
      </c>
      <c r="Y44" s="22">
        <f>IFERROR(AVERAGEIF('Contract Comparison Tool'!$G$5:$G$124,"Yes",'Contract Comparison Tool'!$B$5:$B$124), $B$13)</f>
        <v>871.97142857142853</v>
      </c>
      <c r="Z44" s="41">
        <f>Y44*$D44</f>
        <v>0</v>
      </c>
      <c r="AA44" s="16">
        <v>-5</v>
      </c>
      <c r="AB44" s="49">
        <f>(Z44*AA44/100)</f>
        <v>0</v>
      </c>
      <c r="AD44" s="36" t="s">
        <v>16</v>
      </c>
      <c r="AE44" s="22">
        <f>IFERROR(AVERAGEIF('Contract Comparison Tool'!$G$5:$G$124,"Yes",'Contract Comparison Tool'!$B$5:$B$124), $B$13)</f>
        <v>871.97142857142853</v>
      </c>
      <c r="AF44" s="41">
        <f>AE44*$D44</f>
        <v>0</v>
      </c>
      <c r="AG44" s="16">
        <v>-5</v>
      </c>
      <c r="AH44" s="78">
        <f>AF44*AG44/100</f>
        <v>0</v>
      </c>
      <c r="AJ44" s="36" t="s">
        <v>16</v>
      </c>
      <c r="AK44" s="22">
        <f>IFERROR(AVERAGEIF('Contract Comparison Tool'!$G$5:$G$124,"Yes",'Contract Comparison Tool'!$B$5:$B$124), $B$13)</f>
        <v>871.97142857142853</v>
      </c>
      <c r="AL44" s="41">
        <f>AK44*$D44</f>
        <v>0</v>
      </c>
      <c r="AM44" s="16">
        <v>-5</v>
      </c>
      <c r="AN44" s="49">
        <f>(AL44*AM44/100)</f>
        <v>0</v>
      </c>
    </row>
    <row r="45" spans="1:40" x14ac:dyDescent="0.35">
      <c r="A45" s="36" t="s">
        <v>120</v>
      </c>
      <c r="B45" s="40">
        <f>'Contract Comparison Tool'!K45</f>
        <v>0</v>
      </c>
      <c r="C45" s="20">
        <v>0</v>
      </c>
      <c r="D45" s="40">
        <f t="shared" si="31"/>
        <v>0</v>
      </c>
      <c r="F45" s="111"/>
      <c r="G45" s="112"/>
      <c r="H45" s="112"/>
      <c r="I45" s="112"/>
      <c r="J45" s="113"/>
      <c r="K45" s="6"/>
      <c r="L45" s="111"/>
      <c r="M45" s="112"/>
      <c r="N45" s="112"/>
      <c r="O45" s="112"/>
      <c r="P45" s="113"/>
      <c r="R45" s="111"/>
      <c r="S45" s="112"/>
      <c r="T45" s="112"/>
      <c r="U45" s="112"/>
      <c r="V45" s="113"/>
      <c r="X45" s="36" t="s">
        <v>120</v>
      </c>
      <c r="Y45" s="23">
        <f>IFERROR(AVERAGEIF('Contract Comparison Tool'!$H$5:$H$124,"Yes", 'Contract Comparison Tool'!$B$5:$B$124), $B$13)</f>
        <v>871.97142857142853</v>
      </c>
      <c r="Z45" s="41">
        <f>Y45*$D45</f>
        <v>0</v>
      </c>
      <c r="AA45" s="13">
        <v>3</v>
      </c>
      <c r="AB45" s="42">
        <f>Z45*AA45/100</f>
        <v>0</v>
      </c>
      <c r="AD45" s="36" t="s">
        <v>120</v>
      </c>
      <c r="AE45" s="23">
        <f>IFERROR(AVERAGEIF('Contract Comparison Tool'!$H$5:$H$124,"Yes", 'Contract Comparison Tool'!$B$5:$B$124), $B$13)</f>
        <v>871.97142857142853</v>
      </c>
      <c r="AF45" s="41">
        <f>AE45*$D45</f>
        <v>0</v>
      </c>
      <c r="AG45" s="13">
        <v>3</v>
      </c>
      <c r="AH45" s="78">
        <f t="shared" ref="AH45" si="32">AF45*AG45/100</f>
        <v>0</v>
      </c>
      <c r="AJ45" s="36" t="s">
        <v>120</v>
      </c>
      <c r="AK45" s="23">
        <f>IFERROR(AVERAGEIF('Contract Comparison Tool'!$H$5:$H$124,"Yes", 'Contract Comparison Tool'!$B$5:$B$124), $B$13)</f>
        <v>871.97142857142853</v>
      </c>
      <c r="AL45" s="41">
        <f>AK45*$D45</f>
        <v>0</v>
      </c>
      <c r="AM45" s="13">
        <v>3</v>
      </c>
      <c r="AN45" s="42">
        <f>AL45*AM45/100</f>
        <v>0</v>
      </c>
    </row>
    <row r="46" spans="1:40" x14ac:dyDescent="0.35">
      <c r="A46" s="6"/>
      <c r="B46" s="6"/>
      <c r="C46" s="81"/>
      <c r="D46" s="6"/>
      <c r="E46" s="38"/>
      <c r="F46" s="6"/>
      <c r="G46" s="6"/>
      <c r="H46" s="6"/>
      <c r="I46" s="33"/>
      <c r="J46" s="6"/>
      <c r="K46" s="6"/>
      <c r="L46" s="6"/>
      <c r="M46" s="6"/>
      <c r="U46" s="33"/>
      <c r="Z46" s="1"/>
      <c r="AA46" s="1"/>
      <c r="AB46" s="1"/>
      <c r="AG46" s="33"/>
      <c r="AL46" s="1"/>
      <c r="AM46" s="1"/>
      <c r="AN46" s="1"/>
    </row>
    <row r="47" spans="1:40" ht="17" x14ac:dyDescent="0.4">
      <c r="A47" s="6"/>
      <c r="B47" s="6"/>
      <c r="C47" s="6"/>
      <c r="D47" s="38"/>
      <c r="E47" s="64"/>
      <c r="F47" s="6"/>
      <c r="G47" s="65" t="s">
        <v>85</v>
      </c>
      <c r="H47" s="86" t="s">
        <v>77</v>
      </c>
      <c r="I47" s="87"/>
      <c r="J47" s="34" t="s">
        <v>35</v>
      </c>
      <c r="K47" s="38"/>
      <c r="L47" s="66"/>
      <c r="M47" s="65" t="s">
        <v>86</v>
      </c>
      <c r="N47" s="86" t="s">
        <v>79</v>
      </c>
      <c r="O47" s="87"/>
      <c r="P47" s="34" t="s">
        <v>35</v>
      </c>
      <c r="S47" s="65" t="s">
        <v>87</v>
      </c>
      <c r="T47" s="86" t="s">
        <v>78</v>
      </c>
      <c r="U47" s="87"/>
      <c r="V47" s="34" t="s">
        <v>35</v>
      </c>
      <c r="W47" s="38"/>
      <c r="X47" s="66"/>
      <c r="Y47" s="65" t="s">
        <v>101</v>
      </c>
      <c r="Z47" s="86" t="s">
        <v>97</v>
      </c>
      <c r="AA47" s="87"/>
      <c r="AB47" s="34" t="s">
        <v>35</v>
      </c>
      <c r="AE47" s="65" t="s">
        <v>102</v>
      </c>
      <c r="AF47" s="86" t="s">
        <v>98</v>
      </c>
      <c r="AG47" s="87"/>
      <c r="AH47" s="34" t="s">
        <v>35</v>
      </c>
      <c r="AI47" s="38"/>
      <c r="AJ47" s="66"/>
      <c r="AK47" s="65" t="s">
        <v>103</v>
      </c>
      <c r="AL47" s="86" t="s">
        <v>99</v>
      </c>
      <c r="AM47" s="87"/>
      <c r="AN47" s="34" t="s">
        <v>35</v>
      </c>
    </row>
    <row r="48" spans="1:40" x14ac:dyDescent="0.35">
      <c r="A48" s="6"/>
      <c r="B48" s="6"/>
      <c r="C48" s="6"/>
      <c r="D48" s="33"/>
      <c r="E48" s="64"/>
      <c r="F48" s="33"/>
      <c r="G48" s="33"/>
      <c r="H48" s="94" t="s">
        <v>46</v>
      </c>
      <c r="I48" s="94"/>
      <c r="J48" s="42">
        <f>G12*B12/100</f>
        <v>89055.442622950824</v>
      </c>
      <c r="K48" s="6"/>
      <c r="L48" s="6"/>
      <c r="M48" s="6"/>
      <c r="N48" s="96" t="s">
        <v>46</v>
      </c>
      <c r="O48" s="97"/>
      <c r="P48" s="42">
        <f>M12*B12/100</f>
        <v>89055.442622950824</v>
      </c>
      <c r="Q48" s="38"/>
      <c r="R48" s="33"/>
      <c r="S48" s="33"/>
      <c r="T48" s="94" t="s">
        <v>46</v>
      </c>
      <c r="U48" s="94"/>
      <c r="V48" s="42">
        <f>S12*B12/100</f>
        <v>90316.390243902453</v>
      </c>
      <c r="Z48" s="96" t="s">
        <v>46</v>
      </c>
      <c r="AA48" s="97"/>
      <c r="AB48" s="42">
        <f>Y12*$B12/100</f>
        <v>92301.365853658543</v>
      </c>
      <c r="AD48" s="33"/>
      <c r="AE48" s="33"/>
      <c r="AF48" s="94" t="s">
        <v>46</v>
      </c>
      <c r="AG48" s="94"/>
      <c r="AH48" s="42">
        <f>AE12*$B12/100</f>
        <v>92301.365853658543</v>
      </c>
      <c r="AL48" s="96" t="s">
        <v>46</v>
      </c>
      <c r="AM48" s="97"/>
      <c r="AN48" s="42">
        <f>AK12*$B12/100</f>
        <v>91316.692913385836</v>
      </c>
    </row>
    <row r="49" spans="1:55" ht="15.5" customHeight="1" x14ac:dyDescent="0.35">
      <c r="A49" s="6"/>
      <c r="B49" s="6"/>
      <c r="C49" s="33"/>
      <c r="D49" s="33"/>
      <c r="E49" s="64"/>
      <c r="F49" s="33"/>
      <c r="G49" s="33"/>
      <c r="H49" s="94" t="s">
        <v>48</v>
      </c>
      <c r="I49" s="94"/>
      <c r="J49" s="42">
        <f>SUM(J18:J25)</f>
        <v>-104.55</v>
      </c>
      <c r="K49" s="6"/>
      <c r="L49" s="64"/>
      <c r="M49" s="6"/>
      <c r="N49" s="96" t="s">
        <v>48</v>
      </c>
      <c r="O49" s="97"/>
      <c r="P49" s="42">
        <f>SUM(P18:P25)</f>
        <v>-104.55</v>
      </c>
      <c r="Q49" s="33"/>
      <c r="R49" s="33"/>
      <c r="S49" s="33"/>
      <c r="T49" s="94" t="s">
        <v>48</v>
      </c>
      <c r="U49" s="94"/>
      <c r="V49" s="42">
        <f>SUM(V18:V25)</f>
        <v>-34.85</v>
      </c>
      <c r="X49" s="64"/>
      <c r="Z49" s="96" t="s">
        <v>48</v>
      </c>
      <c r="AA49" s="97"/>
      <c r="AB49" s="42">
        <f>SUM(AB18:AB25)</f>
        <v>-34.85</v>
      </c>
      <c r="AD49" s="33"/>
      <c r="AE49" s="33"/>
      <c r="AF49" s="94" t="s">
        <v>48</v>
      </c>
      <c r="AG49" s="94"/>
      <c r="AH49" s="42">
        <f>SUM(AH18:AH25)</f>
        <v>-34.85</v>
      </c>
      <c r="AJ49" s="64"/>
      <c r="AL49" s="96" t="s">
        <v>48</v>
      </c>
      <c r="AM49" s="97"/>
      <c r="AN49" s="42">
        <f>SUM(AN18:AN25)</f>
        <v>0</v>
      </c>
    </row>
    <row r="50" spans="1:55" x14ac:dyDescent="0.35">
      <c r="A50" s="6"/>
      <c r="B50" s="6"/>
      <c r="C50" s="6"/>
      <c r="D50" s="6"/>
      <c r="E50" s="64"/>
      <c r="F50" s="33"/>
      <c r="G50" s="33"/>
      <c r="H50" s="94" t="s">
        <v>47</v>
      </c>
      <c r="I50" s="94"/>
      <c r="J50" s="42">
        <f>J28+J31+J32+J33+J37+J38+J39+J41+J40+J44</f>
        <v>474.32194615384685</v>
      </c>
      <c r="K50" s="6"/>
      <c r="L50" s="64"/>
      <c r="M50" s="6"/>
      <c r="N50" s="96" t="s">
        <v>47</v>
      </c>
      <c r="O50" s="97"/>
      <c r="P50" s="42">
        <f>P28+P31+P32+P33+P37+P38+P39+P41+P40+P44</f>
        <v>-632.42926153846088</v>
      </c>
      <c r="Q50" s="33"/>
      <c r="R50" s="33"/>
      <c r="S50" s="33"/>
      <c r="T50" s="94" t="s">
        <v>47</v>
      </c>
      <c r="U50" s="94"/>
      <c r="V50" s="42">
        <f>V28+V29+V30+V31+V32+V37+V38+V39+V33+V34+V41+V40+V44</f>
        <v>-2759.9785000000006</v>
      </c>
      <c r="X50" s="64"/>
      <c r="Z50" s="96" t="s">
        <v>47</v>
      </c>
      <c r="AA50" s="97"/>
      <c r="AB50" s="42">
        <f>AB28+AB29+AB30+AB31+AB32+AB33+AB34+AB37+AB38+AB39+AB40+AB41+AB44+AB45</f>
        <v>-2413.2222999999999</v>
      </c>
      <c r="AD50" s="33"/>
      <c r="AE50" s="33"/>
      <c r="AF50" s="94" t="s">
        <v>47</v>
      </c>
      <c r="AG50" s="94"/>
      <c r="AH50" s="42">
        <f>AH28+AH29+AH30+AH31+AH32+AH33+AH34+AH37+AH38+AH39+AH40+AH41+AH44+AH45</f>
        <v>-2413.2222999999999</v>
      </c>
      <c r="AJ50" s="64"/>
      <c r="AL50" s="96" t="s">
        <v>47</v>
      </c>
      <c r="AM50" s="97"/>
      <c r="AN50" s="42">
        <f>AN28+AN31+AN32+AN33+AN37+AN38+AN39+AN40+AN41+AN44+AN45</f>
        <v>-632.42926153846088</v>
      </c>
    </row>
    <row r="51" spans="1:55" x14ac:dyDescent="0.35">
      <c r="A51" s="6"/>
      <c r="B51" s="6"/>
      <c r="C51" s="6"/>
      <c r="D51" s="6"/>
      <c r="E51" s="64"/>
      <c r="F51" s="33"/>
      <c r="G51" s="33"/>
      <c r="H51" s="94" t="s">
        <v>45</v>
      </c>
      <c r="I51" s="94"/>
      <c r="J51" s="42" cm="1">
        <f t="array" ref="J51">_xlfn.IFS(G8&lt;0,((G11/100)*G8),G8&gt;0,((G13-G11)/100)*G8)</f>
        <v>-16.2</v>
      </c>
      <c r="K51" s="6"/>
      <c r="L51" s="64"/>
      <c r="M51" s="6"/>
      <c r="N51" s="96" t="s">
        <v>45</v>
      </c>
      <c r="O51" s="97"/>
      <c r="P51" s="42" cm="1">
        <f t="array" ref="P51">_xlfn.IFS(M8&lt;0,((M11/100)*M8),M8&gt;0,((M13-M11)/100)*M8)</f>
        <v>-16.2</v>
      </c>
      <c r="Q51" s="33"/>
      <c r="R51" s="33"/>
      <c r="S51" s="33"/>
      <c r="T51" s="94" t="s">
        <v>45</v>
      </c>
      <c r="U51" s="94"/>
      <c r="V51" s="42" cm="1">
        <f t="array" ref="V51">_xlfn.IFS(S8&lt;0,((S11/100)*S8),S8&gt;0,((S13-S11)/100)*S8)</f>
        <v>-48.6</v>
      </c>
      <c r="X51" s="64"/>
      <c r="Z51" s="96" t="s">
        <v>45</v>
      </c>
      <c r="AA51" s="97"/>
      <c r="AB51" s="42" cm="1">
        <f t="array" ref="AB51">_xlfn.IFS(Y8&lt;0,((Y11/100)*Y8),Y8&gt;0,((Y13-Y11)/100)*Y8)</f>
        <v>-81</v>
      </c>
      <c r="AD51" s="33"/>
      <c r="AE51" s="33"/>
      <c r="AF51" s="94" t="s">
        <v>45</v>
      </c>
      <c r="AG51" s="94"/>
      <c r="AH51" s="42" cm="1">
        <f t="array" ref="AH51">_xlfn.IFS(AE8&lt;0,((AE11/100)*AE8),AE8&gt;0,((AE13-AE11)/100)*AE8)</f>
        <v>-81</v>
      </c>
      <c r="AJ51" s="64"/>
      <c r="AL51" s="96" t="s">
        <v>45</v>
      </c>
      <c r="AM51" s="97"/>
      <c r="AN51" s="42" cm="1">
        <f t="array" ref="AN51">_xlfn.IFS(AK8&lt;0,((AK11/100)*AK8),AK8&gt;0,((AK13-AK11)/100)*AK8)</f>
        <v>-113.4</v>
      </c>
    </row>
    <row r="52" spans="1:55" x14ac:dyDescent="0.35">
      <c r="A52" s="6"/>
      <c r="B52" s="6"/>
      <c r="C52" s="6"/>
      <c r="D52" s="6"/>
      <c r="E52" s="66"/>
      <c r="F52" s="33"/>
      <c r="G52" s="33"/>
      <c r="H52" s="96" t="s">
        <v>70</v>
      </c>
      <c r="I52" s="97"/>
      <c r="J52" s="42">
        <f>V52</f>
        <v>0</v>
      </c>
      <c r="K52" s="6"/>
      <c r="L52" s="64"/>
      <c r="M52" s="6"/>
      <c r="N52" s="96" t="s">
        <v>70</v>
      </c>
      <c r="O52" s="97"/>
      <c r="P52" s="42">
        <f>V52</f>
        <v>0</v>
      </c>
      <c r="Q52" s="33"/>
      <c r="R52" s="33"/>
      <c r="S52" s="33"/>
      <c r="T52" s="96" t="s">
        <v>70</v>
      </c>
      <c r="U52" s="97"/>
      <c r="V52" s="13">
        <v>0</v>
      </c>
      <c r="X52" s="64"/>
      <c r="Z52" s="96" t="s">
        <v>70</v>
      </c>
      <c r="AA52" s="97"/>
      <c r="AB52" s="42">
        <f>V52</f>
        <v>0</v>
      </c>
      <c r="AD52" s="33"/>
      <c r="AE52" s="33"/>
      <c r="AF52" s="96" t="s">
        <v>70</v>
      </c>
      <c r="AG52" s="97"/>
      <c r="AH52" s="42">
        <v>0</v>
      </c>
      <c r="AJ52" s="64"/>
      <c r="AL52" s="96" t="s">
        <v>70</v>
      </c>
      <c r="AM52" s="97"/>
      <c r="AN52" s="42">
        <f>AH52</f>
        <v>0</v>
      </c>
    </row>
    <row r="53" spans="1:55" x14ac:dyDescent="0.35">
      <c r="A53" s="6"/>
      <c r="B53" s="6"/>
      <c r="C53" s="6"/>
      <c r="D53" s="6"/>
      <c r="F53" s="33"/>
      <c r="G53" s="33"/>
      <c r="H53" s="94" t="s">
        <v>21</v>
      </c>
      <c r="I53" s="94"/>
      <c r="J53" s="42">
        <f>-1*B8</f>
        <v>-35</v>
      </c>
      <c r="K53" s="6"/>
      <c r="L53" s="64"/>
      <c r="M53" s="6"/>
      <c r="N53" s="96" t="s">
        <v>21</v>
      </c>
      <c r="O53" s="97"/>
      <c r="P53" s="42">
        <f>-1*B8</f>
        <v>-35</v>
      </c>
      <c r="Q53" s="33"/>
      <c r="R53" s="33"/>
      <c r="S53" s="33"/>
      <c r="T53" s="94" t="s">
        <v>21</v>
      </c>
      <c r="U53" s="94"/>
      <c r="V53" s="42">
        <f>-1*B8</f>
        <v>-35</v>
      </c>
      <c r="X53" s="64"/>
      <c r="Z53" s="96" t="s">
        <v>21</v>
      </c>
      <c r="AA53" s="97"/>
      <c r="AB53" s="42">
        <f>-1*B8</f>
        <v>-35</v>
      </c>
      <c r="AD53" s="33"/>
      <c r="AE53" s="33"/>
      <c r="AF53" s="94" t="s">
        <v>21</v>
      </c>
      <c r="AG53" s="94"/>
      <c r="AH53" s="42">
        <f>-1*B8</f>
        <v>-35</v>
      </c>
      <c r="AJ53" s="64"/>
      <c r="AL53" s="96" t="s">
        <v>21</v>
      </c>
      <c r="AM53" s="97"/>
      <c r="AN53" s="42">
        <f>-1*B8</f>
        <v>-35</v>
      </c>
    </row>
    <row r="54" spans="1:55" x14ac:dyDescent="0.35">
      <c r="A54" s="6"/>
      <c r="B54" s="6"/>
      <c r="C54" s="6"/>
      <c r="D54" s="6"/>
      <c r="F54" s="6"/>
      <c r="G54" s="6"/>
      <c r="H54" s="95" t="s">
        <v>44</v>
      </c>
      <c r="I54" s="95"/>
      <c r="J54" s="68">
        <f>SUM(J48:J53)</f>
        <v>89374.014569104678</v>
      </c>
      <c r="K54" s="6"/>
      <c r="L54" s="66"/>
      <c r="M54" s="6"/>
      <c r="N54" s="125" t="s">
        <v>44</v>
      </c>
      <c r="O54" s="126"/>
      <c r="P54" s="68">
        <f>SUM(P48:P53)</f>
        <v>88267.263361412362</v>
      </c>
      <c r="Q54" s="33"/>
      <c r="T54" s="95" t="s">
        <v>44</v>
      </c>
      <c r="U54" s="95"/>
      <c r="V54" s="68">
        <f>SUM(V48:V53)</f>
        <v>87437.961743902444</v>
      </c>
      <c r="X54" s="66"/>
      <c r="Z54" s="125" t="s">
        <v>44</v>
      </c>
      <c r="AA54" s="126"/>
      <c r="AB54" s="68">
        <f>SUM(AB48:AB53)</f>
        <v>89737.293553658543</v>
      </c>
      <c r="AF54" s="95" t="s">
        <v>44</v>
      </c>
      <c r="AG54" s="95"/>
      <c r="AH54" s="68">
        <f>SUM(AH48:AH53)</f>
        <v>89737.293553658543</v>
      </c>
      <c r="AJ54" s="66"/>
      <c r="AL54" s="125" t="s">
        <v>44</v>
      </c>
      <c r="AM54" s="126"/>
      <c r="AN54" s="68">
        <f>SUM(AN48:AN53)</f>
        <v>90535.86365184738</v>
      </c>
    </row>
    <row r="55" spans="1:55" x14ac:dyDescent="0.35">
      <c r="A55" s="6"/>
      <c r="B55" s="6"/>
      <c r="C55" s="6"/>
      <c r="D55" s="6"/>
      <c r="F55" s="6"/>
      <c r="G55" s="6"/>
      <c r="H55" s="6"/>
      <c r="I55" s="6"/>
      <c r="J55" s="6"/>
      <c r="K55" s="6"/>
      <c r="L55" s="6"/>
      <c r="M55" s="6"/>
      <c r="N55" s="6"/>
      <c r="O55" s="6"/>
      <c r="P55" s="33"/>
    </row>
    <row r="56" spans="1:55" ht="17" x14ac:dyDescent="0.4">
      <c r="A56" s="6"/>
      <c r="B56" s="6"/>
      <c r="C56" s="6"/>
      <c r="D56" s="6"/>
      <c r="F56" s="6"/>
      <c r="G56" s="6"/>
      <c r="H56" s="6"/>
      <c r="I56" s="6"/>
      <c r="J56" s="6"/>
      <c r="K56" s="6"/>
      <c r="L56" s="6"/>
      <c r="M56" s="6"/>
      <c r="N56" s="84" t="s">
        <v>88</v>
      </c>
      <c r="O56" s="84"/>
      <c r="P56" s="29" t="s">
        <v>35</v>
      </c>
      <c r="Z56" s="84" t="s">
        <v>119</v>
      </c>
      <c r="AA56" s="84"/>
      <c r="AB56" s="29" t="s">
        <v>35</v>
      </c>
      <c r="BB56" s="6"/>
      <c r="BC56" s="6"/>
    </row>
    <row r="57" spans="1:55" x14ac:dyDescent="0.35">
      <c r="A57" s="6"/>
      <c r="B57" s="6"/>
      <c r="C57" s="6"/>
      <c r="D57" s="6"/>
      <c r="F57" s="6"/>
      <c r="G57" s="6"/>
      <c r="H57" s="6"/>
      <c r="I57" s="6"/>
      <c r="J57" s="6"/>
      <c r="K57" s="6"/>
      <c r="L57" s="6"/>
      <c r="M57" s="6"/>
      <c r="N57" s="92" t="s">
        <v>89</v>
      </c>
      <c r="O57" s="92"/>
      <c r="P57" s="69">
        <f>J54-P54</f>
        <v>1106.7512076923158</v>
      </c>
      <c r="Z57" s="92" t="s">
        <v>104</v>
      </c>
      <c r="AA57" s="92"/>
      <c r="AB57" s="69">
        <f>V54-AB54</f>
        <v>-2299.3318097560987</v>
      </c>
      <c r="BB57" s="6"/>
      <c r="BC57" s="6"/>
    </row>
    <row r="58" spans="1:55" x14ac:dyDescent="0.35">
      <c r="A58" s="6"/>
      <c r="B58" s="6"/>
      <c r="C58" s="6"/>
      <c r="D58" s="6"/>
      <c r="F58" s="6"/>
      <c r="G58" s="6"/>
      <c r="H58" s="6"/>
      <c r="I58" s="6"/>
      <c r="J58" s="6"/>
      <c r="K58" s="6"/>
      <c r="L58" s="6"/>
      <c r="M58" s="6"/>
      <c r="N58" s="92" t="s">
        <v>90</v>
      </c>
      <c r="O58" s="92"/>
      <c r="P58" s="68">
        <f>P57/B8</f>
        <v>31.621463076923309</v>
      </c>
      <c r="Z58" s="92" t="s">
        <v>105</v>
      </c>
      <c r="AA58" s="92"/>
      <c r="AB58" s="68">
        <f>AB57/B8</f>
        <v>-65.695194564459968</v>
      </c>
      <c r="BB58" s="6"/>
      <c r="BC58" s="6"/>
    </row>
    <row r="59" spans="1:55" s="6" customFormat="1" x14ac:dyDescent="0.35">
      <c r="N59" s="92" t="s">
        <v>91</v>
      </c>
      <c r="O59" s="92"/>
      <c r="P59" s="69">
        <f>J54-V54</f>
        <v>1936.0528252022341</v>
      </c>
      <c r="Z59" s="92" t="s">
        <v>106</v>
      </c>
      <c r="AA59" s="92"/>
      <c r="AB59" s="69">
        <f>V54-AH54</f>
        <v>-2299.3318097560987</v>
      </c>
    </row>
    <row r="60" spans="1:55" s="6" customFormat="1" x14ac:dyDescent="0.35">
      <c r="N60" s="92" t="s">
        <v>92</v>
      </c>
      <c r="O60" s="92"/>
      <c r="P60" s="68">
        <f>P59/B8</f>
        <v>55.315795005778114</v>
      </c>
      <c r="Z60" s="92" t="s">
        <v>107</v>
      </c>
      <c r="AA60" s="92"/>
      <c r="AB60" s="68">
        <f>AB59/B8</f>
        <v>-65.695194564459968</v>
      </c>
    </row>
    <row r="61" spans="1:55" s="6" customFormat="1" x14ac:dyDescent="0.35">
      <c r="N61" s="92" t="s">
        <v>93</v>
      </c>
      <c r="O61" s="92"/>
      <c r="P61" s="69">
        <f>P54-V54</f>
        <v>829.30161750991829</v>
      </c>
      <c r="Z61" s="92" t="s">
        <v>108</v>
      </c>
      <c r="AA61" s="92"/>
      <c r="AB61" s="69">
        <f>V54-AN54</f>
        <v>-3097.9019079449354</v>
      </c>
    </row>
    <row r="62" spans="1:55" s="6" customFormat="1" x14ac:dyDescent="0.35">
      <c r="N62" s="92" t="s">
        <v>94</v>
      </c>
      <c r="O62" s="92"/>
      <c r="P62" s="68">
        <f>P61/B8</f>
        <v>23.694331928854808</v>
      </c>
      <c r="Z62" s="92" t="s">
        <v>109</v>
      </c>
      <c r="AA62" s="92"/>
      <c r="AB62" s="68">
        <f>AB61/B8</f>
        <v>-88.511483084141005</v>
      </c>
    </row>
    <row r="63" spans="1:55" s="6" customFormat="1" x14ac:dyDescent="0.35">
      <c r="Z63" s="92" t="s">
        <v>110</v>
      </c>
      <c r="AA63" s="92"/>
      <c r="AB63" s="69">
        <f>AB54-AH54</f>
        <v>0</v>
      </c>
    </row>
    <row r="64" spans="1:55" s="6" customFormat="1" x14ac:dyDescent="0.35">
      <c r="Z64" s="92" t="s">
        <v>111</v>
      </c>
      <c r="AA64" s="92"/>
      <c r="AB64" s="68">
        <f>AB63/B8</f>
        <v>0</v>
      </c>
    </row>
    <row r="65" spans="26:28" s="6" customFormat="1" x14ac:dyDescent="0.35">
      <c r="Z65" s="92" t="s">
        <v>112</v>
      </c>
      <c r="AA65" s="92"/>
      <c r="AB65" s="69">
        <f>AB54-AN54</f>
        <v>-798.57009818883671</v>
      </c>
    </row>
    <row r="66" spans="26:28" s="6" customFormat="1" x14ac:dyDescent="0.35">
      <c r="Z66" s="92" t="s">
        <v>113</v>
      </c>
      <c r="AA66" s="92"/>
      <c r="AB66" s="68">
        <f>AB65/B8</f>
        <v>-22.816288519681049</v>
      </c>
    </row>
    <row r="67" spans="26:28" s="6" customFormat="1" x14ac:dyDescent="0.35">
      <c r="Z67" s="92" t="s">
        <v>114</v>
      </c>
      <c r="AA67" s="92"/>
      <c r="AB67" s="69">
        <f>AH54-AN54</f>
        <v>-798.57009818883671</v>
      </c>
    </row>
    <row r="68" spans="26:28" s="6" customFormat="1" x14ac:dyDescent="0.35">
      <c r="Z68" s="92" t="s">
        <v>115</v>
      </c>
      <c r="AA68" s="92"/>
      <c r="AB68" s="68">
        <f>AB67/B8</f>
        <v>-22.816288519681049</v>
      </c>
    </row>
    <row r="69" spans="26:28" s="6" customFormat="1" x14ac:dyDescent="0.35"/>
    <row r="70" spans="26:28" s="6" customFormat="1" x14ac:dyDescent="0.35"/>
    <row r="71" spans="26:28" s="6" customFormat="1" x14ac:dyDescent="0.35"/>
    <row r="72" spans="26:28" s="6" customFormat="1" x14ac:dyDescent="0.35"/>
    <row r="73" spans="26:28" s="6" customFormat="1" x14ac:dyDescent="0.35"/>
    <row r="74" spans="26:28" s="6" customFormat="1" x14ac:dyDescent="0.35"/>
    <row r="75" spans="26:28" s="6" customFormat="1" x14ac:dyDescent="0.35"/>
    <row r="76" spans="26:28" s="6" customFormat="1" x14ac:dyDescent="0.35"/>
    <row r="77" spans="26:28" s="6" customFormat="1" x14ac:dyDescent="0.35"/>
    <row r="78" spans="26:28" s="6" customFormat="1" x14ac:dyDescent="0.35"/>
    <row r="79" spans="26:28" s="6" customFormat="1" x14ac:dyDescent="0.35"/>
    <row r="80" spans="26:28" s="6" customFormat="1" x14ac:dyDescent="0.35"/>
    <row r="81" s="6" customFormat="1" x14ac:dyDescent="0.35"/>
    <row r="82" s="6" customFormat="1" x14ac:dyDescent="0.35"/>
    <row r="83" s="6" customFormat="1" x14ac:dyDescent="0.35"/>
    <row r="84" s="6" customFormat="1" x14ac:dyDescent="0.35"/>
    <row r="85" s="6" customFormat="1" x14ac:dyDescent="0.35"/>
    <row r="86" s="6" customFormat="1" x14ac:dyDescent="0.35"/>
    <row r="87" s="6" customFormat="1" x14ac:dyDescent="0.35"/>
    <row r="88" s="6" customFormat="1" x14ac:dyDescent="0.35"/>
    <row r="89" s="6" customFormat="1" x14ac:dyDescent="0.35"/>
    <row r="90" s="6" customFormat="1" x14ac:dyDescent="0.35"/>
    <row r="91" s="6" customFormat="1" x14ac:dyDescent="0.35"/>
    <row r="92" s="6" customFormat="1" x14ac:dyDescent="0.35"/>
    <row r="93" s="6" customFormat="1" x14ac:dyDescent="0.35"/>
    <row r="94" s="6" customFormat="1" x14ac:dyDescent="0.35"/>
    <row r="95" s="6" customFormat="1" x14ac:dyDescent="0.35"/>
    <row r="96" s="6" customFormat="1" x14ac:dyDescent="0.35"/>
    <row r="97" s="6" customFormat="1" x14ac:dyDescent="0.35"/>
    <row r="98" s="6" customFormat="1" x14ac:dyDescent="0.35"/>
    <row r="99" s="6" customFormat="1" x14ac:dyDescent="0.35"/>
    <row r="100" s="6" customFormat="1" x14ac:dyDescent="0.35"/>
    <row r="101" s="6" customFormat="1" x14ac:dyDescent="0.35"/>
    <row r="102" s="6" customFormat="1" x14ac:dyDescent="0.35"/>
    <row r="103" s="6" customFormat="1" x14ac:dyDescent="0.35"/>
    <row r="104" s="6" customFormat="1" x14ac:dyDescent="0.35"/>
    <row r="105" s="6" customFormat="1" x14ac:dyDescent="0.35"/>
    <row r="106" s="6" customFormat="1" x14ac:dyDescent="0.35"/>
    <row r="107" s="6" customFormat="1" x14ac:dyDescent="0.35"/>
    <row r="108" s="6" customFormat="1" x14ac:dyDescent="0.35"/>
    <row r="109" s="6" customFormat="1" x14ac:dyDescent="0.35"/>
    <row r="110" s="6" customFormat="1" x14ac:dyDescent="0.35"/>
    <row r="111" s="6" customFormat="1" x14ac:dyDescent="0.35"/>
    <row r="112" s="6" customFormat="1" x14ac:dyDescent="0.35"/>
    <row r="113" s="6" customFormat="1" x14ac:dyDescent="0.35"/>
    <row r="114" s="6" customFormat="1" x14ac:dyDescent="0.35"/>
    <row r="115" s="6" customFormat="1" x14ac:dyDescent="0.35"/>
    <row r="116" s="6" customFormat="1" x14ac:dyDescent="0.35"/>
    <row r="117" s="6" customFormat="1" x14ac:dyDescent="0.35"/>
    <row r="118" s="6" customFormat="1" x14ac:dyDescent="0.35"/>
    <row r="119" s="6" customFormat="1" x14ac:dyDescent="0.35"/>
    <row r="120" s="6" customFormat="1" x14ac:dyDescent="0.35"/>
    <row r="121" s="6" customFormat="1" x14ac:dyDescent="0.35"/>
    <row r="122" s="6" customFormat="1" x14ac:dyDescent="0.35"/>
    <row r="123" s="6" customFormat="1" x14ac:dyDescent="0.35"/>
    <row r="124" s="6" customFormat="1" x14ac:dyDescent="0.35"/>
    <row r="125" s="6" customFormat="1" x14ac:dyDescent="0.35"/>
    <row r="126" s="6" customFormat="1" x14ac:dyDescent="0.35"/>
    <row r="127" s="6" customFormat="1" x14ac:dyDescent="0.35"/>
    <row r="128" s="6" customFormat="1" x14ac:dyDescent="0.35"/>
    <row r="129" s="6" customFormat="1" x14ac:dyDescent="0.35"/>
    <row r="130" s="6" customFormat="1" x14ac:dyDescent="0.35"/>
    <row r="131" s="6" customFormat="1" x14ac:dyDescent="0.35"/>
    <row r="132" s="6" customFormat="1" x14ac:dyDescent="0.35"/>
    <row r="133" s="6" customFormat="1" x14ac:dyDescent="0.35"/>
    <row r="134" s="6" customFormat="1" x14ac:dyDescent="0.35"/>
    <row r="135" s="6" customFormat="1" x14ac:dyDescent="0.35"/>
    <row r="136" s="6" customFormat="1" x14ac:dyDescent="0.35"/>
    <row r="137" s="6" customFormat="1" x14ac:dyDescent="0.35"/>
    <row r="138" s="6" customFormat="1" x14ac:dyDescent="0.35"/>
    <row r="139" s="6" customFormat="1" x14ac:dyDescent="0.35"/>
    <row r="140" s="6" customFormat="1" x14ac:dyDescent="0.35"/>
    <row r="141" s="6" customFormat="1" x14ac:dyDescent="0.35"/>
    <row r="142" s="6" customFormat="1" x14ac:dyDescent="0.35"/>
    <row r="143" s="6" customFormat="1" x14ac:dyDescent="0.35"/>
    <row r="144" s="6" customFormat="1" x14ac:dyDescent="0.35"/>
    <row r="145" s="6" customFormat="1" x14ac:dyDescent="0.35"/>
    <row r="146" s="6" customFormat="1" x14ac:dyDescent="0.35"/>
    <row r="147" s="6" customFormat="1" x14ac:dyDescent="0.35"/>
    <row r="148" s="6" customFormat="1" x14ac:dyDescent="0.35"/>
    <row r="149" s="6" customFormat="1" x14ac:dyDescent="0.35"/>
    <row r="150" s="6" customFormat="1" x14ac:dyDescent="0.35"/>
    <row r="151" s="6" customFormat="1" x14ac:dyDescent="0.35"/>
    <row r="152" s="6" customFormat="1" x14ac:dyDescent="0.35"/>
    <row r="153" s="6" customFormat="1" x14ac:dyDescent="0.35"/>
    <row r="154" s="6" customFormat="1" x14ac:dyDescent="0.35"/>
    <row r="155" s="6" customFormat="1" x14ac:dyDescent="0.35"/>
    <row r="156" s="6" customFormat="1" x14ac:dyDescent="0.35"/>
    <row r="157" s="6" customFormat="1" x14ac:dyDescent="0.35"/>
    <row r="158" s="6" customFormat="1" x14ac:dyDescent="0.35"/>
    <row r="159" s="6" customFormat="1" x14ac:dyDescent="0.35"/>
    <row r="160" s="6" customFormat="1" x14ac:dyDescent="0.35"/>
    <row r="161" s="6" customFormat="1" x14ac:dyDescent="0.35"/>
    <row r="162" s="6" customFormat="1" x14ac:dyDescent="0.35"/>
    <row r="163" s="6" customFormat="1" x14ac:dyDescent="0.35"/>
    <row r="164" s="6" customFormat="1" x14ac:dyDescent="0.35"/>
    <row r="165" s="6" customFormat="1" x14ac:dyDescent="0.35"/>
    <row r="166" s="6" customFormat="1" x14ac:dyDescent="0.35"/>
    <row r="167" s="6" customFormat="1" x14ac:dyDescent="0.35"/>
    <row r="168" s="6" customFormat="1" x14ac:dyDescent="0.35"/>
    <row r="169" s="6" customFormat="1" x14ac:dyDescent="0.35"/>
    <row r="170" s="6" customFormat="1" x14ac:dyDescent="0.35"/>
    <row r="171" s="6" customFormat="1" x14ac:dyDescent="0.35"/>
    <row r="172" s="6" customFormat="1" x14ac:dyDescent="0.35"/>
    <row r="173" s="6" customFormat="1" x14ac:dyDescent="0.35"/>
    <row r="174" s="6" customFormat="1" x14ac:dyDescent="0.35"/>
    <row r="175" s="6" customFormat="1" x14ac:dyDescent="0.35"/>
    <row r="176" s="6" customFormat="1" x14ac:dyDescent="0.35"/>
    <row r="177" s="6" customFormat="1" x14ac:dyDescent="0.35"/>
    <row r="178" s="6" customFormat="1" x14ac:dyDescent="0.35"/>
    <row r="179" s="6" customFormat="1" x14ac:dyDescent="0.35"/>
    <row r="180" s="6" customFormat="1" x14ac:dyDescent="0.35"/>
    <row r="181" s="6" customFormat="1" x14ac:dyDescent="0.35"/>
    <row r="182" s="6" customFormat="1" x14ac:dyDescent="0.35"/>
    <row r="183" s="6" customFormat="1" x14ac:dyDescent="0.35"/>
    <row r="184" s="6" customFormat="1" x14ac:dyDescent="0.35"/>
    <row r="185" s="6" customFormat="1" x14ac:dyDescent="0.35"/>
    <row r="186" s="6" customFormat="1" x14ac:dyDescent="0.35"/>
    <row r="187" s="6" customFormat="1" x14ac:dyDescent="0.35"/>
    <row r="188" s="6" customFormat="1" x14ac:dyDescent="0.35"/>
    <row r="189" s="6" customFormat="1" x14ac:dyDescent="0.35"/>
    <row r="190" s="6" customFormat="1" x14ac:dyDescent="0.35"/>
    <row r="191" s="6" customFormat="1" x14ac:dyDescent="0.35"/>
    <row r="192" s="6" customFormat="1" x14ac:dyDescent="0.35"/>
    <row r="193" spans="8:10" s="6" customFormat="1" x14ac:dyDescent="0.35"/>
    <row r="194" spans="8:10" s="6" customFormat="1" x14ac:dyDescent="0.35">
      <c r="H194" s="1"/>
      <c r="I194" s="1"/>
      <c r="J194" s="1"/>
    </row>
    <row r="195" spans="8:10" s="6" customFormat="1" x14ac:dyDescent="0.35">
      <c r="H195" s="1"/>
      <c r="I195" s="1"/>
      <c r="J195" s="1"/>
    </row>
    <row r="196" spans="8:10" s="6" customFormat="1" x14ac:dyDescent="0.35">
      <c r="H196" s="1"/>
      <c r="I196" s="1"/>
      <c r="J196" s="1"/>
    </row>
    <row r="197" spans="8:10" s="6" customFormat="1" x14ac:dyDescent="0.35">
      <c r="H197" s="1"/>
      <c r="I197" s="1"/>
      <c r="J197" s="1"/>
    </row>
  </sheetData>
  <sheetProtection algorithmName="SHA-512" hashValue="BEhjW0Ftd0QiZnrRMUA/FUxQaRh+LTbj6bx75K2JMg4tg4BrAbu2slWGKPJYMAeGcRNB/iIF3QNMAIrmeMnPyA==" saltValue="hPQgulZCSSfEEfJ6K/6GmA==" spinCount="100000" sheet="1" objects="1" scenarios="1"/>
  <mergeCells count="236">
    <mergeCell ref="Z66:AA66"/>
    <mergeCell ref="Z67:AA67"/>
    <mergeCell ref="Z68:AA68"/>
    <mergeCell ref="N62:O62"/>
    <mergeCell ref="Z62:AA62"/>
    <mergeCell ref="Z63:AA63"/>
    <mergeCell ref="Z64:AA64"/>
    <mergeCell ref="Z65:AA65"/>
    <mergeCell ref="N59:O59"/>
    <mergeCell ref="Z59:AA59"/>
    <mergeCell ref="N60:O60"/>
    <mergeCell ref="Z60:AA60"/>
    <mergeCell ref="N61:O61"/>
    <mergeCell ref="Z61:AA61"/>
    <mergeCell ref="Z56:AA56"/>
    <mergeCell ref="N57:O57"/>
    <mergeCell ref="Z57:AA57"/>
    <mergeCell ref="N58:O58"/>
    <mergeCell ref="Z58:AA58"/>
    <mergeCell ref="L34:P34"/>
    <mergeCell ref="F45:J45"/>
    <mergeCell ref="L45:P45"/>
    <mergeCell ref="R45:V45"/>
    <mergeCell ref="T54:U54"/>
    <mergeCell ref="Z54:AA54"/>
    <mergeCell ref="Z49:AA49"/>
    <mergeCell ref="X42:X43"/>
    <mergeCell ref="Y42:Y43"/>
    <mergeCell ref="Z42:Z43"/>
    <mergeCell ref="AA42:AA43"/>
    <mergeCell ref="H52:I52"/>
    <mergeCell ref="N52:O52"/>
    <mergeCell ref="N54:O54"/>
    <mergeCell ref="H54:I54"/>
    <mergeCell ref="N50:O50"/>
    <mergeCell ref="H50:I50"/>
    <mergeCell ref="N51:O51"/>
    <mergeCell ref="H51:I51"/>
    <mergeCell ref="AF53:AG53"/>
    <mergeCell ref="AL53:AM53"/>
    <mergeCell ref="AF54:AG54"/>
    <mergeCell ref="AL54:AM54"/>
    <mergeCell ref="A1:AN1"/>
    <mergeCell ref="AJ30:AN30"/>
    <mergeCell ref="AJ34:AN34"/>
    <mergeCell ref="F28:F29"/>
    <mergeCell ref="G28:G29"/>
    <mergeCell ref="H28:H29"/>
    <mergeCell ref="I28:I29"/>
    <mergeCell ref="J28:J29"/>
    <mergeCell ref="F30:J30"/>
    <mergeCell ref="F34:J34"/>
    <mergeCell ref="AF50:AG50"/>
    <mergeCell ref="AL50:AM50"/>
    <mergeCell ref="AF51:AG51"/>
    <mergeCell ref="AL51:AM51"/>
    <mergeCell ref="AF52:AG52"/>
    <mergeCell ref="AL52:AM52"/>
    <mergeCell ref="AF47:AG47"/>
    <mergeCell ref="AL47:AM47"/>
    <mergeCell ref="AF48:AG48"/>
    <mergeCell ref="AL48:AM48"/>
    <mergeCell ref="AF49:AG49"/>
    <mergeCell ref="AL49:AM49"/>
    <mergeCell ref="AL35:AL36"/>
    <mergeCell ref="AM35:AM36"/>
    <mergeCell ref="AN35:AN36"/>
    <mergeCell ref="AD42:AD43"/>
    <mergeCell ref="AE42:AE43"/>
    <mergeCell ref="AF42:AF43"/>
    <mergeCell ref="AG42:AG43"/>
    <mergeCell ref="AH42:AH43"/>
    <mergeCell ref="AJ42:AJ43"/>
    <mergeCell ref="AK42:AK43"/>
    <mergeCell ref="AL42:AL43"/>
    <mergeCell ref="AM42:AM43"/>
    <mergeCell ref="AN42:AN43"/>
    <mergeCell ref="AF35:AF36"/>
    <mergeCell ref="AG35:AG36"/>
    <mergeCell ref="AH35:AH36"/>
    <mergeCell ref="AJ35:AJ36"/>
    <mergeCell ref="AK35:AK36"/>
    <mergeCell ref="AJ28:AJ29"/>
    <mergeCell ref="AK28:AK29"/>
    <mergeCell ref="AL28:AL29"/>
    <mergeCell ref="AM28:AM29"/>
    <mergeCell ref="AN28:AN29"/>
    <mergeCell ref="AL16:AL17"/>
    <mergeCell ref="AM16:AM17"/>
    <mergeCell ref="AN16:AN17"/>
    <mergeCell ref="AD26:AD27"/>
    <mergeCell ref="AE26:AE27"/>
    <mergeCell ref="AF26:AF27"/>
    <mergeCell ref="AG26:AG27"/>
    <mergeCell ref="AH26:AH27"/>
    <mergeCell ref="AJ26:AJ27"/>
    <mergeCell ref="AK26:AK27"/>
    <mergeCell ref="AL26:AL27"/>
    <mergeCell ref="AM26:AM27"/>
    <mergeCell ref="AN26:AN27"/>
    <mergeCell ref="AJ5:AK5"/>
    <mergeCell ref="AD16:AD17"/>
    <mergeCell ref="AE16:AE17"/>
    <mergeCell ref="AF16:AF17"/>
    <mergeCell ref="AG16:AG17"/>
    <mergeCell ref="AH16:AH17"/>
    <mergeCell ref="AJ16:AJ17"/>
    <mergeCell ref="AK16:AK17"/>
    <mergeCell ref="T53:U53"/>
    <mergeCell ref="Z53:AA53"/>
    <mergeCell ref="AD5:AE5"/>
    <mergeCell ref="AD35:AD36"/>
    <mergeCell ref="AE35:AE36"/>
    <mergeCell ref="T50:U50"/>
    <mergeCell ref="Z50:AA50"/>
    <mergeCell ref="T51:U51"/>
    <mergeCell ref="Z51:AA51"/>
    <mergeCell ref="T52:U52"/>
    <mergeCell ref="Z52:AA52"/>
    <mergeCell ref="T47:U47"/>
    <mergeCell ref="Z47:AA47"/>
    <mergeCell ref="T48:U48"/>
    <mergeCell ref="Z48:AA48"/>
    <mergeCell ref="T49:U49"/>
    <mergeCell ref="AB42:AB43"/>
    <mergeCell ref="R42:R43"/>
    <mergeCell ref="S42:S43"/>
    <mergeCell ref="T42:T43"/>
    <mergeCell ref="U42:U43"/>
    <mergeCell ref="V42:V43"/>
    <mergeCell ref="X35:X36"/>
    <mergeCell ref="Y35:Y36"/>
    <mergeCell ref="Z35:Z36"/>
    <mergeCell ref="AA35:AA36"/>
    <mergeCell ref="AB35:AB36"/>
    <mergeCell ref="R35:R36"/>
    <mergeCell ref="S35:S36"/>
    <mergeCell ref="T35:T36"/>
    <mergeCell ref="U35:U36"/>
    <mergeCell ref="V35:V36"/>
    <mergeCell ref="Z16:Z17"/>
    <mergeCell ref="AA16:AA17"/>
    <mergeCell ref="AB16:AB17"/>
    <mergeCell ref="R26:R27"/>
    <mergeCell ref="S26:S27"/>
    <mergeCell ref="T26:T27"/>
    <mergeCell ref="U26:U27"/>
    <mergeCell ref="V26:V27"/>
    <mergeCell ref="X26:X27"/>
    <mergeCell ref="Y26:Y27"/>
    <mergeCell ref="Z26:Z27"/>
    <mergeCell ref="AA26:AA27"/>
    <mergeCell ref="AB26:AB27"/>
    <mergeCell ref="R5:S5"/>
    <mergeCell ref="X5:Y5"/>
    <mergeCell ref="R16:R17"/>
    <mergeCell ref="S16:S17"/>
    <mergeCell ref="T16:T17"/>
    <mergeCell ref="U16:U17"/>
    <mergeCell ref="V16:V17"/>
    <mergeCell ref="X16:X17"/>
    <mergeCell ref="Y16:Y17"/>
    <mergeCell ref="F5:G5"/>
    <mergeCell ref="G16:G17"/>
    <mergeCell ref="G42:G43"/>
    <mergeCell ref="G35:G36"/>
    <mergeCell ref="G26:G27"/>
    <mergeCell ref="M35:M36"/>
    <mergeCell ref="M42:M43"/>
    <mergeCell ref="M26:M27"/>
    <mergeCell ref="M16:M17"/>
    <mergeCell ref="L5:M5"/>
    <mergeCell ref="A7:B7"/>
    <mergeCell ref="N48:O48"/>
    <mergeCell ref="H48:I48"/>
    <mergeCell ref="N49:O49"/>
    <mergeCell ref="D16:D17"/>
    <mergeCell ref="C16:C17"/>
    <mergeCell ref="B16:B17"/>
    <mergeCell ref="H47:I47"/>
    <mergeCell ref="I26:I27"/>
    <mergeCell ref="F35:F36"/>
    <mergeCell ref="H35:H36"/>
    <mergeCell ref="I35:I36"/>
    <mergeCell ref="H16:H17"/>
    <mergeCell ref="I16:I17"/>
    <mergeCell ref="F26:F27"/>
    <mergeCell ref="H26:H27"/>
    <mergeCell ref="F16:F17"/>
    <mergeCell ref="D26:D27"/>
    <mergeCell ref="H49:I49"/>
    <mergeCell ref="A16:A17"/>
    <mergeCell ref="D42:D43"/>
    <mergeCell ref="C42:C43"/>
    <mergeCell ref="B42:B43"/>
    <mergeCell ref="A42:A43"/>
    <mergeCell ref="A35:A36"/>
    <mergeCell ref="C26:C27"/>
    <mergeCell ref="B26:B27"/>
    <mergeCell ref="A26:A27"/>
    <mergeCell ref="D35:D36"/>
    <mergeCell ref="F42:F43"/>
    <mergeCell ref="H42:H43"/>
    <mergeCell ref="I42:I43"/>
    <mergeCell ref="C35:C36"/>
    <mergeCell ref="B35:B36"/>
    <mergeCell ref="N53:O53"/>
    <mergeCell ref="H53:I53"/>
    <mergeCell ref="N56:O56"/>
    <mergeCell ref="N47:O47"/>
    <mergeCell ref="L35:L36"/>
    <mergeCell ref="N35:N36"/>
    <mergeCell ref="O35:O36"/>
    <mergeCell ref="L42:L43"/>
    <mergeCell ref="N42:N43"/>
    <mergeCell ref="O42:O43"/>
    <mergeCell ref="P42:P43"/>
    <mergeCell ref="J16:J17"/>
    <mergeCell ref="L26:L27"/>
    <mergeCell ref="N26:N27"/>
    <mergeCell ref="O26:O27"/>
    <mergeCell ref="P26:P27"/>
    <mergeCell ref="J26:J27"/>
    <mergeCell ref="J42:J43"/>
    <mergeCell ref="P28:P29"/>
    <mergeCell ref="O28:O29"/>
    <mergeCell ref="M28:M29"/>
    <mergeCell ref="J35:J36"/>
    <mergeCell ref="L28:L29"/>
    <mergeCell ref="N28:N29"/>
    <mergeCell ref="P35:P36"/>
    <mergeCell ref="L30:P30"/>
    <mergeCell ref="L16:L17"/>
    <mergeCell ref="N16:N17"/>
    <mergeCell ref="O16:O17"/>
    <mergeCell ref="P16:P17"/>
  </mergeCells>
  <pageMargins left="0.7" right="0.7" top="0.75" bottom="0.75" header="0.3" footer="0.3"/>
  <legacy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Instructions</vt:lpstr>
      <vt:lpstr>Contract Comparison Tool</vt:lpstr>
      <vt:lpstr>Sensitivity Analysis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Jaborek, Jerad</dc:creator>
  <cp:lastModifiedBy>Jaborek, Jerad</cp:lastModifiedBy>
  <dcterms:created xsi:type="dcterms:W3CDTF">2021-03-15T23:49:06Z</dcterms:created>
  <dcterms:modified xsi:type="dcterms:W3CDTF">2025-02-24T14:13:53Z</dcterms:modified>
</cp:coreProperties>
</file>